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5220C_3A" sheetId="1" r:id="rId1"/>
  </sheets>
  <definedNames>
    <definedName name="_xlnm.Print_Area" localSheetId="0">'5220C_3A'!$A$2:$J$74</definedName>
  </definedNames>
  <calcPr fullCalcOnLoad="1"/>
</workbook>
</file>

<file path=xl/sharedStrings.xml><?xml version="1.0" encoding="utf-8"?>
<sst xmlns="http://schemas.openxmlformats.org/spreadsheetml/2006/main" count="131" uniqueCount="102">
  <si>
    <t xml:space="preserve"> </t>
  </si>
  <si>
    <t>file:</t>
  </si>
  <si>
    <t>updated:</t>
  </si>
  <si>
    <t>date:</t>
  </si>
  <si>
    <t>dept:</t>
  </si>
  <si>
    <t>TK 1- Si</t>
  </si>
  <si>
    <t>For information only!</t>
  </si>
  <si>
    <t>excluding all parts as shown below</t>
  </si>
  <si>
    <t>total</t>
  </si>
  <si>
    <t>3 front-</t>
  </si>
  <si>
    <t>2 rear-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</si>
  <si>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</si>
  <si>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</si>
  <si>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</si>
  <si>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</si>
  <si>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</si>
  <si>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</si>
  <si>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</si>
  <si>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O/R pads on jack- cylinders</t>
  </si>
  <si>
    <t>O/R pads on dolly</t>
  </si>
  <si>
    <t>32- t- hook block on dolly</t>
  </si>
  <si>
    <t>10 * 8 * 10 drive/steer</t>
  </si>
  <si>
    <t>aux. hoist</t>
  </si>
  <si>
    <t>brackets for swingaway incl. hose reel</t>
  </si>
  <si>
    <t>lattice swingaway</t>
  </si>
  <si>
    <t>lattice swingaway double folded</t>
  </si>
  <si>
    <t>add. oil cooler</t>
  </si>
  <si>
    <t>add. weight for tyres 16.00 R25 XGC</t>
  </si>
  <si>
    <t>add. weight for tyres 20.5 R 25 XGC</t>
  </si>
  <si>
    <t>spare wheel 14.00 R25 XGC on dolly</t>
  </si>
  <si>
    <t>spare wheel 16.00 R25 XGC on dolly</t>
  </si>
  <si>
    <t>spare wheel 20.5 R25 XGC on dolly</t>
  </si>
  <si>
    <t>.. t counterweight on superstructure or carrier</t>
  </si>
  <si>
    <t>remove outriggers in front</t>
  </si>
  <si>
    <t>remove outriggers at the rear</t>
  </si>
  <si>
    <t>remove rope for main hoist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</si>
  <si>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</si>
  <si>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</si>
  <si>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</si>
  <si>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</si>
  <si>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</si>
  <si>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</si>
  <si>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</si>
  <si>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</si>
  <si>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</si>
  <si>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</si>
  <si>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</si>
  <si>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</si>
  <si>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</si>
  <si>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</si>
  <si>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</si>
  <si>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</si>
  <si>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</si>
  <si>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7. axle:</t>
  </si>
  <si>
    <t>axle 6 - 7: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</si>
  <si>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</si>
  <si>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</si>
  <si>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</si>
  <si>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</si>
  <si>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</si>
  <si>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</si>
  <si>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1.-5. axle:</t>
  </si>
  <si>
    <t xml:space="preserve">  1.-7. axle:</t>
  </si>
  <si>
    <t xml:space="preserve">  2.-5. axle:</t>
  </si>
  <si>
    <t xml:space="preserve">  2.-7. axle:</t>
  </si>
  <si>
    <t xml:space="preserve">  4.-5. axle:</t>
  </si>
  <si>
    <t xml:space="preserve">  4.-7. axle:</t>
  </si>
  <si>
    <t xml:space="preserve">  6.-7. axle:</t>
  </si>
  <si>
    <t>Fahrgestell 10*6*10</t>
  </si>
  <si>
    <t xml:space="preserve">     G * Xs</t>
  </si>
  <si>
    <t xml:space="preserve">      G Afa</t>
  </si>
  <si>
    <t>Drehtisch mit Anteil W- Zyl.</t>
  </si>
  <si>
    <t xml:space="preserve">    G Dolly</t>
  </si>
  <si>
    <t>Ausleger mit Anteil W- Zyl.</t>
  </si>
  <si>
    <t xml:space="preserve">        G</t>
  </si>
  <si>
    <t xml:space="preserve">        m</t>
  </si>
  <si>
    <t>Zugfz.   G</t>
  </si>
  <si>
    <t>Zugfz.  Xs</t>
  </si>
  <si>
    <t>Auslegerlänge</t>
  </si>
  <si>
    <t>.. t retracting force (max. 18 t)</t>
  </si>
  <si>
    <t>.. t extending force (max. 25 t)</t>
  </si>
  <si>
    <t>Standard</t>
  </si>
  <si>
    <r>
      <t xml:space="preserve">Axle Loads GMK 5220 / </t>
    </r>
    <r>
      <rPr>
        <b/>
        <sz val="8"/>
        <color indexed="10"/>
        <rFont val="Arial"/>
        <family val="2"/>
      </rPr>
      <t>5275</t>
    </r>
    <r>
      <rPr>
        <b/>
        <sz val="8"/>
        <rFont val="Arial"/>
        <family val="2"/>
      </rPr>
      <t xml:space="preserve"> Cummins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</si>
  <si>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r>
      <t>Standard unit</t>
    </r>
    <r>
      <rPr>
        <sz val="8"/>
        <rFont val="Arial"/>
        <family val="2"/>
      </rPr>
      <t xml:space="preserve"> with tyres 14.00 R25 XGC on steel wheels; 10 * 6 * 10; with driver; tanks filled</t>
    </r>
  </si>
  <si>
    <t>Weight of boom dolly (t):</t>
  </si>
  <si>
    <t>Distance from boom pivot pin to centre of dolly (m):</t>
  </si>
  <si>
    <t>weight</t>
  </si>
  <si>
    <t>axles</t>
  </si>
  <si>
    <t>(lbs)</t>
  </si>
  <si>
    <r>
      <t xml:space="preserve">2- achs- Nachläufer </t>
    </r>
    <r>
      <rPr>
        <sz val="8"/>
        <color indexed="10"/>
        <rFont val="Arial"/>
        <family val="2"/>
      </rPr>
      <t>(dolly weight)</t>
    </r>
  </si>
  <si>
    <r>
      <t xml:space="preserve">Auflage ab Afa </t>
    </r>
    <r>
      <rPr>
        <sz val="8"/>
        <color indexed="10"/>
        <rFont val="Arial"/>
        <family val="2"/>
      </rPr>
      <t>(CL of pivot to CL of dolly)</t>
    </r>
  </si>
  <si>
    <r>
      <t xml:space="preserve">Abstand Drehm. bis Afa </t>
    </r>
    <r>
      <rPr>
        <sz val="8"/>
        <color indexed="10"/>
        <rFont val="Arial"/>
        <family val="2"/>
      </rPr>
      <t>(CL rotation to pivot)</t>
    </r>
  </si>
  <si>
    <r>
      <t xml:space="preserve">Kranbreite </t>
    </r>
    <r>
      <rPr>
        <sz val="8"/>
        <color indexed="10"/>
        <rFont val="Arial"/>
        <family val="2"/>
      </rPr>
      <t>(machine width)</t>
    </r>
  </si>
  <si>
    <t>(10.3 m) *</t>
  </si>
  <si>
    <t>Distance to center between lugs on base section 33.8 ft</t>
  </si>
  <si>
    <r>
      <t xml:space="preserve">Axle loads in ( t ): </t>
    </r>
    <r>
      <rPr>
        <b/>
        <i/>
        <sz val="8"/>
        <rFont val="Arial"/>
        <family val="2"/>
      </rPr>
      <t xml:space="preserve"> in (</t>
    </r>
    <r>
      <rPr>
        <b/>
        <i/>
        <sz val="8"/>
        <color indexed="10"/>
        <rFont val="Arial"/>
        <family val="2"/>
      </rPr>
      <t>lbs</t>
    </r>
    <r>
      <rPr>
        <b/>
        <i/>
        <sz val="8"/>
        <rFont val="Arial"/>
        <family val="2"/>
      </rPr>
      <t>):</t>
    </r>
    <r>
      <rPr>
        <b/>
        <sz val="8"/>
        <rFont val="Arial"/>
        <family val="2"/>
      </rPr>
      <t xml:space="preserve">            1. axle:</t>
    </r>
  </si>
  <si>
    <t>with 3- Axle boom dolly</t>
  </si>
  <si>
    <t>Nelson CBC-30ST</t>
  </si>
  <si>
    <t>8. axle:</t>
  </si>
  <si>
    <t>axle 7 - 8:</t>
  </si>
  <si>
    <t>3 dolly-</t>
  </si>
  <si>
    <t>5220C_3A.xls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</si>
</sst>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E+00"/>
    <numFmt numFmtId="181" formatCode="#,##0.00&quot;DM&quot;;\(#,##0.00&quot;DM&quot;\)"/>
    <numFmt numFmtId="182" formatCode="#,##0&quot;DM&quot;;\(#,##0&quot;DM&quot;\)"/>
    <numFmt numFmtId="183" formatCode="d\.m\.yy"/>
    <numFmt numFmtId="184" formatCode="d\.m"/>
    <numFmt numFmtId="185" formatCode="d\.mmm\ yy"/>
    <numFmt numFmtId="186" formatCode="d\.mmm"/>
    <numFmt numFmtId="187" formatCode="d\.m\.yy\ h:mm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[$-407]d/\ mmm/\ yy;@"/>
    <numFmt numFmtId="194" formatCode="mm/dd/yyyy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2" borderId="0" xfId="0" applyNumberFormat="1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 horizontal="right"/>
      <protection/>
    </xf>
    <xf numFmtId="0" fontId="5" fillId="2" borderId="2" xfId="0" applyNumberFormat="1" applyFont="1" applyFill="1" applyBorder="1" applyAlignment="1" applyProtection="1">
      <alignment horizontal="left"/>
      <protection/>
    </xf>
    <xf numFmtId="0" fontId="5" fillId="2" borderId="3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4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 horizontal="right"/>
      <protection/>
    </xf>
    <xf numFmtId="193" fontId="5" fillId="2" borderId="0" xfId="0" applyNumberFormat="1" applyFont="1" applyFill="1" applyBorder="1" applyAlignment="1" applyProtection="1">
      <alignment horizontal="left"/>
      <protection/>
    </xf>
    <xf numFmtId="194" fontId="5" fillId="2" borderId="5" xfId="0" applyNumberFormat="1" applyFont="1" applyFill="1" applyBorder="1" applyAlignment="1" applyProtection="1">
      <alignment/>
      <protection/>
    </xf>
    <xf numFmtId="14" fontId="5" fillId="2" borderId="0" xfId="0" applyNumberFormat="1" applyFont="1" applyFill="1" applyAlignment="1" applyProtection="1">
      <alignment horizontal="right"/>
      <protection/>
    </xf>
    <xf numFmtId="14" fontId="5" fillId="2" borderId="5" xfId="0" applyNumberFormat="1" applyFont="1" applyFill="1" applyBorder="1" applyAlignment="1" applyProtection="1">
      <alignment horizontal="right"/>
      <protection/>
    </xf>
    <xf numFmtId="0" fontId="5" fillId="2" borderId="6" xfId="0" applyNumberFormat="1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 horizontal="right"/>
      <protection/>
    </xf>
    <xf numFmtId="0" fontId="5" fillId="2" borderId="7" xfId="0" applyNumberFormat="1" applyFont="1" applyFill="1" applyBorder="1" applyAlignment="1" applyProtection="1">
      <alignment horizontal="left"/>
      <protection/>
    </xf>
    <xf numFmtId="0" fontId="5" fillId="2" borderId="8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5" fillId="2" borderId="3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Alignment="1" applyProtection="1">
      <alignment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189" fontId="7" fillId="2" borderId="0" xfId="0" applyNumberFormat="1" applyFont="1" applyFill="1" applyBorder="1" applyAlignment="1" applyProtection="1">
      <alignment/>
      <protection/>
    </xf>
    <xf numFmtId="1" fontId="8" fillId="2" borderId="5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 quotePrefix="1">
      <alignment horizontal="left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0" fontId="5" fillId="2" borderId="12" xfId="0" applyNumberFormat="1" applyFont="1" applyFill="1" applyBorder="1" applyAlignment="1" applyProtection="1">
      <alignment horizontal="center"/>
      <protection/>
    </xf>
    <xf numFmtId="0" fontId="5" fillId="2" borderId="13" xfId="0" applyNumberFormat="1" applyFont="1" applyFill="1" applyBorder="1" applyAlignment="1" applyProtection="1">
      <alignment horizontal="center"/>
      <protection/>
    </xf>
    <xf numFmtId="0" fontId="5" fillId="2" borderId="14" xfId="0" applyNumberFormat="1" applyFont="1" applyFill="1" applyBorder="1" applyAlignment="1" applyProtection="1">
      <alignment horizontal="center"/>
      <protection/>
    </xf>
    <xf numFmtId="0" fontId="5" fillId="2" borderId="15" xfId="0" applyNumberFormat="1" applyFont="1" applyFill="1" applyBorder="1" applyAlignment="1" applyProtection="1">
      <alignment horizontal="center"/>
      <protection/>
    </xf>
    <xf numFmtId="0" fontId="5" fillId="2" borderId="16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 quotePrefix="1">
      <alignment horizontal="left"/>
      <protection/>
    </xf>
    <xf numFmtId="1" fontId="7" fillId="2" borderId="11" xfId="0" applyNumberFormat="1" applyFont="1" applyFill="1" applyBorder="1" applyAlignment="1" applyProtection="1">
      <alignment horizontal="center"/>
      <protection/>
    </xf>
    <xf numFmtId="1" fontId="7" fillId="2" borderId="0" xfId="0" applyNumberFormat="1" applyFont="1" applyFill="1" applyBorder="1" applyAlignment="1" applyProtection="1">
      <alignment horizontal="center"/>
      <protection/>
    </xf>
    <xf numFmtId="1" fontId="7" fillId="2" borderId="5" xfId="0" applyNumberFormat="1" applyFont="1" applyFill="1" applyBorder="1" applyAlignment="1" applyProtection="1">
      <alignment horizontal="center"/>
      <protection/>
    </xf>
    <xf numFmtId="3" fontId="8" fillId="2" borderId="11" xfId="0" applyNumberFormat="1" applyFont="1" applyFill="1" applyBorder="1" applyAlignment="1" applyProtection="1">
      <alignment horizontal="center"/>
      <protection/>
    </xf>
    <xf numFmtId="3" fontId="8" fillId="2" borderId="16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7" fillId="2" borderId="7" xfId="0" applyNumberFormat="1" applyFont="1" applyFill="1" applyBorder="1" applyAlignment="1" applyProtection="1" quotePrefix="1">
      <alignment horizontal="left"/>
      <protection/>
    </xf>
    <xf numFmtId="0" fontId="5" fillId="2" borderId="17" xfId="0" applyNumberFormat="1" applyFont="1" applyFill="1" applyBorder="1" applyAlignment="1" applyProtection="1">
      <alignment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15" xfId="0" applyNumberFormat="1" applyFont="1" applyFill="1" applyBorder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/>
      <protection/>
    </xf>
    <xf numFmtId="3" fontId="8" fillId="2" borderId="18" xfId="0" applyNumberFormat="1" applyFont="1" applyFill="1" applyBorder="1" applyAlignment="1" applyProtection="1">
      <alignment/>
      <protection/>
    </xf>
    <xf numFmtId="3" fontId="8" fillId="2" borderId="19" xfId="0" applyNumberFormat="1" applyFont="1" applyFill="1" applyBorder="1" applyAlignment="1" applyProtection="1">
      <alignment/>
      <protection/>
    </xf>
    <xf numFmtId="3" fontId="8" fillId="2" borderId="20" xfId="0" applyNumberFormat="1" applyFont="1" applyFill="1" applyBorder="1" applyAlignment="1" applyProtection="1">
      <alignment/>
      <protection/>
    </xf>
    <xf numFmtId="0" fontId="5" fillId="3" borderId="21" xfId="0" applyNumberFormat="1" applyFont="1" applyFill="1" applyBorder="1" applyAlignment="1" applyProtection="1">
      <alignment/>
      <protection locked="0"/>
    </xf>
    <xf numFmtId="0" fontId="5" fillId="2" borderId="22" xfId="0" applyNumberFormat="1" applyFont="1" applyFill="1" applyBorder="1" applyAlignment="1" applyProtection="1">
      <alignment/>
      <protection/>
    </xf>
    <xf numFmtId="1" fontId="5" fillId="2" borderId="23" xfId="0" applyNumberFormat="1" applyFont="1" applyFill="1" applyBorder="1" applyAlignment="1" applyProtection="1">
      <alignment/>
      <protection/>
    </xf>
    <xf numFmtId="1" fontId="5" fillId="2" borderId="22" xfId="0" applyNumberFormat="1" applyFont="1" applyFill="1" applyBorder="1" applyAlignment="1" applyProtection="1">
      <alignment/>
      <protection/>
    </xf>
    <xf numFmtId="1" fontId="5" fillId="2" borderId="24" xfId="0" applyNumberFormat="1" applyFont="1" applyFill="1" applyBorder="1" applyAlignment="1" applyProtection="1">
      <alignment horizontal="right"/>
      <protection/>
    </xf>
    <xf numFmtId="189" fontId="5" fillId="2" borderId="0" xfId="0" applyNumberFormat="1" applyFont="1" applyFill="1" applyAlignment="1" applyProtection="1">
      <alignment/>
      <protection/>
    </xf>
    <xf numFmtId="3" fontId="8" fillId="2" borderId="25" xfId="0" applyNumberFormat="1" applyFont="1" applyFill="1" applyBorder="1" applyAlignment="1" applyProtection="1">
      <alignment/>
      <protection/>
    </xf>
    <xf numFmtId="3" fontId="8" fillId="2" borderId="26" xfId="0" applyNumberFormat="1" applyFont="1" applyFill="1" applyBorder="1" applyAlignment="1" applyProtection="1">
      <alignment/>
      <protection/>
    </xf>
    <xf numFmtId="3" fontId="8" fillId="2" borderId="27" xfId="0" applyNumberFormat="1" applyFont="1" applyFill="1" applyBorder="1" applyAlignment="1" applyProtection="1">
      <alignment/>
      <protection/>
    </xf>
    <xf numFmtId="1" fontId="5" fillId="2" borderId="22" xfId="0" applyNumberFormat="1" applyFont="1" applyFill="1" applyBorder="1" applyAlignment="1" applyProtection="1">
      <alignment horizontal="right"/>
      <protection/>
    </xf>
    <xf numFmtId="1" fontId="5" fillId="2" borderId="23" xfId="0" applyNumberFormat="1" applyFont="1" applyFill="1" applyBorder="1" applyAlignment="1" applyProtection="1">
      <alignment horizontal="right"/>
      <protection/>
    </xf>
    <xf numFmtId="1" fontId="5" fillId="2" borderId="24" xfId="0" applyNumberFormat="1" applyFont="1" applyFill="1" applyBorder="1" applyAlignment="1" applyProtection="1">
      <alignment/>
      <protection/>
    </xf>
    <xf numFmtId="3" fontId="8" fillId="2" borderId="28" xfId="0" applyNumberFormat="1" applyFont="1" applyFill="1" applyBorder="1" applyAlignment="1" applyProtection="1">
      <alignment/>
      <protection/>
    </xf>
    <xf numFmtId="3" fontId="8" fillId="2" borderId="29" xfId="0" applyNumberFormat="1" applyFont="1" applyFill="1" applyBorder="1" applyAlignment="1" applyProtection="1">
      <alignment/>
      <protection/>
    </xf>
    <xf numFmtId="3" fontId="8" fillId="2" borderId="30" xfId="0" applyNumberFormat="1" applyFont="1" applyFill="1" applyBorder="1" applyAlignment="1" applyProtection="1">
      <alignment/>
      <protection/>
    </xf>
    <xf numFmtId="0" fontId="5" fillId="2" borderId="22" xfId="0" applyNumberFormat="1" applyFont="1" applyFill="1" applyBorder="1" applyAlignment="1" applyProtection="1" quotePrefix="1">
      <alignment horizontal="left"/>
      <protection/>
    </xf>
    <xf numFmtId="0" fontId="5" fillId="2" borderId="22" xfId="0" applyNumberFormat="1" applyFont="1" applyFill="1" applyBorder="1" applyAlignment="1" applyProtection="1">
      <alignment horizontal="left"/>
      <protection/>
    </xf>
    <xf numFmtId="0" fontId="5" fillId="2" borderId="21" xfId="0" applyNumberFormat="1" applyFont="1" applyFill="1" applyBorder="1" applyAlignment="1" applyProtection="1">
      <alignment/>
      <protection locked="0"/>
    </xf>
    <xf numFmtId="0" fontId="5" fillId="2" borderId="23" xfId="0" applyNumberFormat="1" applyFont="1" applyFill="1" applyBorder="1" applyAlignment="1" applyProtection="1">
      <alignment/>
      <protection/>
    </xf>
    <xf numFmtId="0" fontId="5" fillId="2" borderId="24" xfId="0" applyNumberFormat="1" applyFont="1" applyFill="1" applyBorder="1" applyAlignment="1" applyProtection="1">
      <alignment horizontal="right"/>
      <protection/>
    </xf>
    <xf numFmtId="3" fontId="8" fillId="2" borderId="31" xfId="0" applyNumberFormat="1" applyFont="1" applyFill="1" applyBorder="1" applyAlignment="1" applyProtection="1">
      <alignment/>
      <protection/>
    </xf>
    <xf numFmtId="3" fontId="8" fillId="2" borderId="32" xfId="0" applyNumberFormat="1" applyFont="1" applyFill="1" applyBorder="1" applyAlignment="1" applyProtection="1">
      <alignment/>
      <protection/>
    </xf>
    <xf numFmtId="3" fontId="8" fillId="2" borderId="33" xfId="0" applyNumberFormat="1" applyFont="1" applyFill="1" applyBorder="1" applyAlignment="1" applyProtection="1">
      <alignment/>
      <protection/>
    </xf>
    <xf numFmtId="0" fontId="5" fillId="2" borderId="13" xfId="0" applyNumberFormat="1" applyFont="1" applyFill="1" applyBorder="1" applyAlignment="1" applyProtection="1">
      <alignment/>
      <protection/>
    </xf>
    <xf numFmtId="1" fontId="7" fillId="2" borderId="11" xfId="0" applyNumberFormat="1" applyFont="1" applyFill="1" applyBorder="1" applyAlignment="1" applyProtection="1">
      <alignment/>
      <protection/>
    </xf>
    <xf numFmtId="0" fontId="8" fillId="2" borderId="7" xfId="0" applyNumberFormat="1" applyFont="1" applyFill="1" applyBorder="1" applyAlignment="1" applyProtection="1" quotePrefix="1">
      <alignment horizontal="left"/>
      <protection/>
    </xf>
    <xf numFmtId="3" fontId="8" fillId="2" borderId="17" xfId="0" applyNumberFormat="1" applyFont="1" applyFill="1" applyBorder="1" applyAlignment="1" applyProtection="1">
      <alignment/>
      <protection/>
    </xf>
    <xf numFmtId="3" fontId="8" fillId="2" borderId="34" xfId="0" applyNumberFormat="1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 horizontal="right"/>
      <protection/>
    </xf>
    <xf numFmtId="2" fontId="7" fillId="2" borderId="13" xfId="0" applyNumberFormat="1" applyFont="1" applyFill="1" applyBorder="1" applyAlignment="1" applyProtection="1">
      <alignment horizontal="right"/>
      <protection/>
    </xf>
    <xf numFmtId="3" fontId="8" fillId="2" borderId="2" xfId="0" applyNumberFormat="1" applyFont="1" applyFill="1" applyBorder="1" applyAlignment="1" applyProtection="1">
      <alignment/>
      <protection/>
    </xf>
    <xf numFmtId="0" fontId="5" fillId="2" borderId="35" xfId="0" applyNumberFormat="1" applyFont="1" applyFill="1" applyBorder="1" applyAlignment="1" applyProtection="1" quotePrefix="1">
      <alignment horizontal="left"/>
      <protection/>
    </xf>
    <xf numFmtId="0" fontId="7" fillId="2" borderId="0" xfId="0" applyNumberFormat="1" applyFont="1" applyFill="1" applyAlignment="1" applyProtection="1">
      <alignment horizontal="right"/>
      <protection/>
    </xf>
    <xf numFmtId="2" fontId="7" fillId="2" borderId="11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 applyProtection="1">
      <alignment/>
      <protection/>
    </xf>
    <xf numFmtId="2" fontId="5" fillId="2" borderId="36" xfId="0" applyNumberFormat="1" applyFont="1" applyFill="1" applyBorder="1" applyAlignment="1" applyProtection="1" quotePrefix="1">
      <alignment horizontal="right"/>
      <protection/>
    </xf>
    <xf numFmtId="2" fontId="5" fillId="2" borderId="16" xfId="0" applyNumberFormat="1" applyFont="1" applyFill="1" applyBorder="1" applyAlignment="1" applyProtection="1">
      <alignment horizontal="right"/>
      <protection/>
    </xf>
    <xf numFmtId="2" fontId="11" fillId="3" borderId="16" xfId="0" applyNumberFormat="1" applyFont="1" applyFill="1" applyBorder="1" applyAlignment="1" applyProtection="1">
      <alignment horizontal="right"/>
      <protection locked="0"/>
    </xf>
    <xf numFmtId="0" fontId="7" fillId="2" borderId="7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Alignment="1" applyProtection="1" quotePrefix="1">
      <alignment horizontal="right"/>
      <protection/>
    </xf>
    <xf numFmtId="2" fontId="5" fillId="2" borderId="0" xfId="0" applyNumberFormat="1" applyFont="1" applyFill="1" applyAlignment="1" applyProtection="1">
      <alignment/>
      <protection/>
    </xf>
    <xf numFmtId="2" fontId="5" fillId="2" borderId="2" xfId="0" applyNumberFormat="1" applyFont="1" applyFill="1" applyBorder="1" applyAlignment="1" applyProtection="1">
      <alignment/>
      <protection/>
    </xf>
    <xf numFmtId="189" fontId="5" fillId="2" borderId="2" xfId="0" applyNumberFormat="1" applyFont="1" applyFill="1" applyBorder="1" applyAlignment="1" applyProtection="1">
      <alignment/>
      <protection/>
    </xf>
    <xf numFmtId="189" fontId="5" fillId="2" borderId="3" xfId="0" applyNumberFormat="1" applyFont="1" applyFill="1" applyBorder="1" applyAlignment="1" applyProtection="1">
      <alignment/>
      <protection/>
    </xf>
    <xf numFmtId="189" fontId="5" fillId="2" borderId="0" xfId="0" applyNumberFormat="1" applyFont="1" applyFill="1" applyBorder="1" applyAlignment="1" applyProtection="1">
      <alignment/>
      <protection/>
    </xf>
    <xf numFmtId="189" fontId="5" fillId="2" borderId="5" xfId="0" applyNumberFormat="1" applyFont="1" applyFill="1" applyBorder="1" applyAlignment="1" applyProtection="1">
      <alignment/>
      <protection/>
    </xf>
    <xf numFmtId="189" fontId="4" fillId="2" borderId="0" xfId="0" applyNumberFormat="1" applyFont="1" applyFill="1" applyAlignment="1" applyProtection="1">
      <alignment/>
      <protection/>
    </xf>
    <xf numFmtId="2" fontId="11" fillId="3" borderId="0" xfId="0" applyNumberFormat="1" applyFont="1" applyFill="1" applyAlignment="1" applyProtection="1">
      <alignment/>
      <protection locked="0"/>
    </xf>
    <xf numFmtId="189" fontId="11" fillId="3" borderId="0" xfId="0" applyNumberFormat="1" applyFont="1" applyFill="1" applyAlignment="1" applyProtection="1">
      <alignment/>
      <protection locked="0"/>
    </xf>
    <xf numFmtId="189" fontId="5" fillId="2" borderId="0" xfId="0" applyNumberFormat="1" applyFont="1" applyFill="1" applyAlignment="1" applyProtection="1" quotePrefix="1">
      <alignment horizontal="left"/>
      <protection/>
    </xf>
    <xf numFmtId="2" fontId="11" fillId="3" borderId="7" xfId="0" applyNumberFormat="1" applyFont="1" applyFill="1" applyBorder="1" applyAlignment="1" applyProtection="1">
      <alignment/>
      <protection locked="0"/>
    </xf>
    <xf numFmtId="189" fontId="5" fillId="2" borderId="7" xfId="0" applyNumberFormat="1" applyFont="1" applyFill="1" applyBorder="1" applyAlignment="1" applyProtection="1">
      <alignment/>
      <protection/>
    </xf>
    <xf numFmtId="2" fontId="7" fillId="2" borderId="17" xfId="0" applyNumberFormat="1" applyFont="1" applyFill="1" applyBorder="1" applyAlignment="1" applyProtection="1">
      <alignment horizontal="right"/>
      <protection/>
    </xf>
    <xf numFmtId="3" fontId="8" fillId="2" borderId="7" xfId="0" applyNumberFormat="1" applyFont="1" applyFill="1" applyBorder="1" applyAlignment="1" applyProtection="1">
      <alignment/>
      <protection/>
    </xf>
    <xf numFmtId="2" fontId="5" fillId="2" borderId="37" xfId="0" applyNumberFormat="1" applyFont="1" applyFill="1" applyBorder="1" applyAlignment="1" applyProtection="1" quotePrefix="1">
      <alignment horizontal="right"/>
      <protection/>
    </xf>
    <xf numFmtId="2" fontId="11" fillId="3" borderId="34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2333625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workbookViewId="0" topLeftCell="A1">
      <selection activeCell="D44" sqref="D44"/>
    </sheetView>
  </sheetViews>
  <sheetFormatPr defaultColWidth="8.796875" defaultRowHeight="15"/>
  <cols>
    <col min="1" max="1" width="7" style="9" customWidth="1"/>
    <col min="2" max="2" width="4.69921875" style="9" customWidth="1"/>
    <col min="3" max="3" width="31.69921875" style="9" customWidth="1"/>
    <col min="4" max="6" width="9.09765625" style="9" customWidth="1"/>
    <col min="7" max="7" width="9.3984375" style="9" customWidth="1"/>
    <col min="8" max="8" width="5.69921875" style="9" bestFit="1" customWidth="1"/>
    <col min="9" max="9" width="8.69921875" style="9" hidden="1" customWidth="1"/>
    <col min="10" max="10" width="16.296875" style="9" hidden="1" customWidth="1"/>
    <col min="11" max="11" width="8.09765625" style="9" hidden="1" customWidth="1"/>
    <col min="12" max="12" width="8.296875" style="9" hidden="1" customWidth="1"/>
    <col min="13" max="16" width="7.69921875" style="9" customWidth="1"/>
    <col min="17" max="17" width="11.59765625" style="9" customWidth="1"/>
    <col min="18" max="16384" width="11.3984375" style="9" customWidth="1"/>
  </cols>
  <sheetData>
    <row r="1" spans="1:12" ht="12.75">
      <c r="A1" s="1"/>
      <c r="B1" s="2"/>
      <c r="C1" s="3" t="s">
        <v>0</v>
      </c>
      <c r="D1" s="3" t="s">
        <v>0</v>
      </c>
      <c r="E1" s="4" t="s">
        <v>1</v>
      </c>
      <c r="F1" s="5" t="s">
        <v>101</v>
      </c>
      <c r="G1" s="6"/>
      <c r="H1" s="1"/>
      <c r="I1" s="1"/>
      <c r="J1" s="7"/>
      <c r="K1" s="7"/>
      <c r="L1" s="8"/>
    </row>
    <row r="2" spans="1:12" ht="12.75">
      <c r="A2" s="1"/>
      <c r="B2" s="10"/>
      <c r="C2" s="11" t="s">
        <v>0</v>
      </c>
      <c r="D2" s="1"/>
      <c r="E2" s="12" t="s">
        <v>2</v>
      </c>
      <c r="F2" s="13">
        <v>38730</v>
      </c>
      <c r="G2" s="14"/>
      <c r="H2" s="1"/>
      <c r="I2" s="1"/>
      <c r="J2" s="7"/>
      <c r="K2" s="7"/>
      <c r="L2" s="8"/>
    </row>
    <row r="3" spans="1:12" ht="12.75">
      <c r="A3" s="1"/>
      <c r="B3" s="10"/>
      <c r="C3" s="1" t="s">
        <v>0</v>
      </c>
      <c r="D3" s="1"/>
      <c r="E3" s="15" t="s">
        <v>3</v>
      </c>
      <c r="F3" s="13">
        <f ca="1">NOW()</f>
        <v>40345.45247488426</v>
      </c>
      <c r="G3" s="16"/>
      <c r="H3" s="1"/>
      <c r="I3" s="1"/>
      <c r="J3" s="7"/>
      <c r="K3" s="7"/>
      <c r="L3" s="8"/>
    </row>
    <row r="4" spans="1:12" ht="13.5" thickBot="1">
      <c r="A4" s="1"/>
      <c r="B4" s="17"/>
      <c r="C4" s="18" t="s">
        <v>0</v>
      </c>
      <c r="D4" s="18" t="s">
        <v>0</v>
      </c>
      <c r="E4" s="19" t="s">
        <v>4</v>
      </c>
      <c r="F4" s="20" t="s">
        <v>5</v>
      </c>
      <c r="G4" s="21"/>
      <c r="H4" s="1"/>
      <c r="I4" s="1"/>
      <c r="J4" s="7"/>
      <c r="K4" s="7"/>
      <c r="L4" s="8"/>
    </row>
    <row r="5" spans="1:12" ht="9.75" customHeight="1" thickBot="1">
      <c r="A5" s="1"/>
      <c r="B5" s="22"/>
      <c r="C5" s="3" t="s">
        <v>0</v>
      </c>
      <c r="D5" s="3"/>
      <c r="E5" s="3"/>
      <c r="F5" s="3"/>
      <c r="G5" s="23"/>
      <c r="H5" s="1"/>
      <c r="I5" s="1"/>
      <c r="J5" s="7"/>
      <c r="K5" s="7"/>
      <c r="L5" s="8"/>
    </row>
    <row r="6" spans="1:12" ht="13.5" customHeight="1" thickBot="1">
      <c r="A6" s="1"/>
      <c r="B6" s="24" t="s">
        <v>82</v>
      </c>
      <c r="C6" s="25"/>
      <c r="D6" s="26" t="s">
        <v>81</v>
      </c>
      <c r="E6" s="27"/>
      <c r="F6" s="26" t="s">
        <v>6</v>
      </c>
      <c r="G6" s="27"/>
      <c r="H6" s="1"/>
      <c r="I6" s="1"/>
      <c r="J6" s="28"/>
      <c r="K6" s="28"/>
      <c r="L6" s="8"/>
    </row>
    <row r="7" spans="1:12" ht="9.75" customHeight="1" thickBot="1">
      <c r="A7" s="1"/>
      <c r="B7" s="29" t="s">
        <v>96</v>
      </c>
      <c r="C7" s="30"/>
      <c r="D7" s="31"/>
      <c r="E7" s="31"/>
      <c r="F7" s="32"/>
      <c r="G7" s="33"/>
      <c r="H7" s="1"/>
      <c r="I7" s="1"/>
      <c r="J7" s="34"/>
      <c r="K7" s="34"/>
      <c r="L7" s="8"/>
    </row>
    <row r="8" spans="1:12" ht="12.75">
      <c r="A8" s="1"/>
      <c r="B8" s="10"/>
      <c r="C8" s="35" t="s">
        <v>83</v>
      </c>
      <c r="D8" s="36"/>
      <c r="E8" s="36"/>
      <c r="F8" s="37"/>
      <c r="G8" s="38"/>
      <c r="H8" s="1"/>
      <c r="I8" s="1"/>
      <c r="J8" s="34"/>
      <c r="K8" s="34"/>
      <c r="L8" s="8"/>
    </row>
    <row r="9" spans="1:13" ht="12.75">
      <c r="A9" s="1"/>
      <c r="B9" s="10"/>
      <c r="C9" s="39"/>
      <c r="D9" s="36"/>
      <c r="E9" s="40" t="s">
        <v>84</v>
      </c>
      <c r="F9" s="41">
        <f>E70</f>
        <v>4.128</v>
      </c>
      <c r="G9" s="42">
        <f>(F9*2204.6)</f>
        <v>9100.5888</v>
      </c>
      <c r="H9" s="1"/>
      <c r="I9" s="1"/>
      <c r="J9" s="34"/>
      <c r="K9" s="34"/>
      <c r="L9" s="8"/>
      <c r="M9" s="43" t="s">
        <v>97</v>
      </c>
    </row>
    <row r="10" spans="1:12" ht="12.75">
      <c r="A10" s="1"/>
      <c r="B10" s="10"/>
      <c r="C10" s="44"/>
      <c r="D10" s="37"/>
      <c r="E10" s="45" t="s">
        <v>85</v>
      </c>
      <c r="F10" s="41">
        <f>E71</f>
        <v>10.3</v>
      </c>
      <c r="G10" s="42"/>
      <c r="H10" s="1"/>
      <c r="I10" s="1"/>
      <c r="J10" s="34"/>
      <c r="K10" s="34"/>
      <c r="L10" s="8"/>
    </row>
    <row r="11" spans="1:12" ht="13.5" thickBot="1">
      <c r="A11" s="1"/>
      <c r="B11" s="10"/>
      <c r="C11" s="46" t="s">
        <v>7</v>
      </c>
      <c r="D11" s="37"/>
      <c r="E11" s="37"/>
      <c r="F11" s="36"/>
      <c r="G11" s="38"/>
      <c r="H11" s="1"/>
      <c r="I11" s="1"/>
      <c r="J11" s="34"/>
      <c r="K11" s="34"/>
      <c r="L11" s="8"/>
    </row>
    <row r="12" spans="1:16" ht="12.75">
      <c r="A12" s="1"/>
      <c r="B12" s="10"/>
      <c r="C12" s="37" t="s">
        <v>0</v>
      </c>
      <c r="D12" s="47" t="s">
        <v>8</v>
      </c>
      <c r="E12" s="48" t="s">
        <v>9</v>
      </c>
      <c r="F12" s="47" t="s">
        <v>10</v>
      </c>
      <c r="G12" s="49" t="s">
        <v>100</v>
      </c>
      <c r="H12" s="1"/>
      <c r="I12" s="1"/>
      <c r="J12" s="34"/>
      <c r="K12" s="34"/>
      <c r="L12" s="8"/>
      <c r="M12" s="50" t="s">
        <v>8</v>
      </c>
      <c r="N12" s="51" t="s">
        <v>9</v>
      </c>
      <c r="O12" s="51" t="s">
        <v>10</v>
      </c>
      <c r="P12" s="52" t="s">
        <v>100</v>
      </c>
    </row>
    <row r="13" spans="1:16" ht="12.75">
      <c r="A13" s="1"/>
      <c r="B13" s="10"/>
      <c r="C13" s="37" t="s">
        <v>0</v>
      </c>
      <c r="D13" s="47" t="s">
        <v>11</v>
      </c>
      <c r="E13" s="48" t="s">
        <v>12</v>
      </c>
      <c r="F13" s="47" t="s">
        <v>12</v>
      </c>
      <c r="G13" s="49" t="s">
        <v>12</v>
      </c>
      <c r="I13" s="9" t="s">
        <v>13</v>
      </c>
      <c r="J13" s="1" t="s">
        <v>14</v>
      </c>
      <c r="K13" s="1" t="s">
        <v>15</v>
      </c>
      <c r="L13" s="34"/>
      <c r="M13" s="53" t="s">
        <v>86</v>
      </c>
      <c r="N13" s="47" t="s">
        <v>87</v>
      </c>
      <c r="O13" s="47" t="s">
        <v>87</v>
      </c>
      <c r="P13" s="54" t="s">
        <v>87</v>
      </c>
    </row>
    <row r="14" spans="1:16" ht="12.75">
      <c r="A14" s="1"/>
      <c r="B14" s="10"/>
      <c r="C14" s="55" t="s">
        <v>16</v>
      </c>
      <c r="D14" s="56">
        <f>SUM(E14:G14)</f>
        <v>63263</v>
      </c>
      <c r="E14" s="57">
        <f>H71*(K14+H72)/(J14+K14)*1000</f>
        <v>27600.939125734614</v>
      </c>
      <c r="F14" s="56">
        <f>H71*1000-E14</f>
        <v>17511.210534459562</v>
      </c>
      <c r="G14" s="58">
        <f>(H68+E70)*1000</f>
        <v>18150.850339805824</v>
      </c>
      <c r="J14" s="1">
        <v>4.2667</v>
      </c>
      <c r="K14" s="1">
        <v>1.125</v>
      </c>
      <c r="L14" s="34"/>
      <c r="M14" s="53" t="s">
        <v>88</v>
      </c>
      <c r="N14" s="47" t="s">
        <v>88</v>
      </c>
      <c r="O14" s="47" t="s">
        <v>88</v>
      </c>
      <c r="P14" s="54" t="s">
        <v>88</v>
      </c>
    </row>
    <row r="15" spans="1:16" ht="9.75" customHeight="1">
      <c r="A15" s="1"/>
      <c r="B15" s="10"/>
      <c r="C15" s="37" t="s">
        <v>0</v>
      </c>
      <c r="D15" s="59">
        <f>D14*2.2046244201838</f>
        <v>139471.15469408775</v>
      </c>
      <c r="E15" s="59">
        <f>E14*2.2046244201838</f>
        <v>60849.70441660104</v>
      </c>
      <c r="F15" s="59">
        <f>F14*2.2046244201838</f>
        <v>38605.64237124936</v>
      </c>
      <c r="G15" s="60">
        <f>G14*2.2046244201838</f>
        <v>40015.80790623734</v>
      </c>
      <c r="J15" s="1"/>
      <c r="K15" s="1"/>
      <c r="L15" s="34"/>
      <c r="M15" s="61"/>
      <c r="N15" s="62"/>
      <c r="O15" s="62"/>
      <c r="P15" s="63"/>
    </row>
    <row r="16" spans="1:16" ht="13.5" thickBot="1">
      <c r="A16" s="1"/>
      <c r="B16" s="17"/>
      <c r="C16" s="64" t="s">
        <v>17</v>
      </c>
      <c r="D16" s="65"/>
      <c r="E16" s="18"/>
      <c r="F16" s="65"/>
      <c r="G16" s="66"/>
      <c r="J16" s="1"/>
      <c r="K16" s="1"/>
      <c r="L16" s="34"/>
      <c r="M16" s="67"/>
      <c r="N16" s="68"/>
      <c r="O16" s="68"/>
      <c r="P16" s="69"/>
    </row>
    <row r="17" spans="1:16" ht="9" customHeight="1">
      <c r="A17" s="1"/>
      <c r="B17" s="70"/>
      <c r="C17" s="1"/>
      <c r="D17" s="71"/>
      <c r="E17" s="1"/>
      <c r="F17" s="71"/>
      <c r="G17" s="38"/>
      <c r="J17" s="1"/>
      <c r="K17" s="1"/>
      <c r="L17" s="1"/>
      <c r="M17" s="72"/>
      <c r="N17" s="73"/>
      <c r="O17" s="73"/>
      <c r="P17" s="74"/>
    </row>
    <row r="18" spans="1:16" ht="9" customHeight="1">
      <c r="A18" s="1">
        <v>200</v>
      </c>
      <c r="B18" s="75">
        <v>1</v>
      </c>
      <c r="C18" s="76" t="s">
        <v>18</v>
      </c>
      <c r="D18" s="77">
        <f aca="true" t="shared" si="0" ref="D18:D31">B18*A18</f>
        <v>200</v>
      </c>
      <c r="E18" s="78">
        <f>D18-F18</f>
        <v>70.47869874065694</v>
      </c>
      <c r="F18" s="77">
        <f>(J18-I18)/(J18+K18)*D18</f>
        <v>129.52130125934306</v>
      </c>
      <c r="G18" s="79">
        <v>0</v>
      </c>
      <c r="I18" s="9">
        <v>0.775</v>
      </c>
      <c r="J18" s="1">
        <f>J14</f>
        <v>4.2667</v>
      </c>
      <c r="K18" s="80">
        <f>K14</f>
        <v>1.125</v>
      </c>
      <c r="L18" s="1"/>
      <c r="M18" s="81">
        <f aca="true" t="shared" si="1" ref="M18:P40">D18*2.2046244201838</f>
        <v>440.92488403676003</v>
      </c>
      <c r="N18" s="82">
        <f t="shared" si="1"/>
        <v>155.37906034642953</v>
      </c>
      <c r="O18" s="82">
        <f t="shared" si="1"/>
        <v>285.5458236903305</v>
      </c>
      <c r="P18" s="83">
        <f t="shared" si="1"/>
        <v>0</v>
      </c>
    </row>
    <row r="19" spans="1:16" ht="9" customHeight="1">
      <c r="A19" s="1">
        <v>200</v>
      </c>
      <c r="B19" s="75">
        <v>0</v>
      </c>
      <c r="C19" s="76" t="s">
        <v>19</v>
      </c>
      <c r="D19" s="77">
        <f t="shared" si="0"/>
        <v>0</v>
      </c>
      <c r="E19" s="84">
        <v>0</v>
      </c>
      <c r="F19" s="85">
        <v>0</v>
      </c>
      <c r="G19" s="86">
        <f>D19</f>
        <v>0</v>
      </c>
      <c r="J19" s="1">
        <f aca="true" t="shared" si="2" ref="J19:K25">J18</f>
        <v>4.2667</v>
      </c>
      <c r="K19" s="80">
        <f t="shared" si="2"/>
        <v>1.125</v>
      </c>
      <c r="L19" s="1"/>
      <c r="M19" s="87">
        <f t="shared" si="1"/>
        <v>0</v>
      </c>
      <c r="N19" s="88">
        <f t="shared" si="1"/>
        <v>0</v>
      </c>
      <c r="O19" s="88">
        <f t="shared" si="1"/>
        <v>0</v>
      </c>
      <c r="P19" s="89">
        <f t="shared" si="1"/>
        <v>0</v>
      </c>
    </row>
    <row r="20" spans="1:16" ht="9" customHeight="1">
      <c r="A20" s="1">
        <v>600</v>
      </c>
      <c r="B20" s="75">
        <v>0</v>
      </c>
      <c r="C20" s="90" t="s">
        <v>20</v>
      </c>
      <c r="D20" s="77">
        <f t="shared" si="0"/>
        <v>0</v>
      </c>
      <c r="E20" s="84">
        <v>0</v>
      </c>
      <c r="F20" s="85">
        <v>0</v>
      </c>
      <c r="G20" s="86">
        <f>D20</f>
        <v>0</v>
      </c>
      <c r="J20" s="1">
        <f t="shared" si="2"/>
        <v>4.2667</v>
      </c>
      <c r="K20" s="80">
        <f t="shared" si="2"/>
        <v>1.125</v>
      </c>
      <c r="L20" s="1"/>
      <c r="M20" s="87">
        <f t="shared" si="1"/>
        <v>0</v>
      </c>
      <c r="N20" s="88">
        <f t="shared" si="1"/>
        <v>0</v>
      </c>
      <c r="O20" s="88">
        <f t="shared" si="1"/>
        <v>0</v>
      </c>
      <c r="P20" s="89">
        <f t="shared" si="1"/>
        <v>0</v>
      </c>
    </row>
    <row r="21" spans="1:16" ht="9" customHeight="1">
      <c r="A21" s="1">
        <v>355</v>
      </c>
      <c r="B21" s="75">
        <v>1</v>
      </c>
      <c r="C21" s="76" t="s">
        <v>21</v>
      </c>
      <c r="D21" s="77">
        <f t="shared" si="0"/>
        <v>355</v>
      </c>
      <c r="E21" s="78">
        <f>D21-F21</f>
        <v>319.070052117143</v>
      </c>
      <c r="F21" s="77">
        <f>(J21-I21)/(J21+K21)*D21</f>
        <v>35.929947882856986</v>
      </c>
      <c r="G21" s="79">
        <v>0</v>
      </c>
      <c r="I21" s="9">
        <v>3.721</v>
      </c>
      <c r="J21" s="1">
        <f t="shared" si="2"/>
        <v>4.2667</v>
      </c>
      <c r="K21" s="80">
        <f t="shared" si="2"/>
        <v>1.125</v>
      </c>
      <c r="L21" s="1"/>
      <c r="M21" s="87">
        <f t="shared" si="1"/>
        <v>782.641669165249</v>
      </c>
      <c r="N21" s="88">
        <f t="shared" si="1"/>
        <v>703.4296286467713</v>
      </c>
      <c r="O21" s="88">
        <f t="shared" si="1"/>
        <v>79.21204051847774</v>
      </c>
      <c r="P21" s="89">
        <f t="shared" si="1"/>
        <v>0</v>
      </c>
    </row>
    <row r="22" spans="1:16" ht="9" customHeight="1">
      <c r="A22" s="1">
        <v>1740</v>
      </c>
      <c r="B22" s="75">
        <v>1</v>
      </c>
      <c r="C22" s="76" t="s">
        <v>22</v>
      </c>
      <c r="D22" s="77">
        <f t="shared" si="0"/>
        <v>1740</v>
      </c>
      <c r="E22" s="78">
        <f>D22-F22</f>
        <v>1879.83381864718</v>
      </c>
      <c r="F22" s="77">
        <f>(J22-I22)/(J22+K22)*D22</f>
        <v>-139.83381864717992</v>
      </c>
      <c r="G22" s="79">
        <v>0</v>
      </c>
      <c r="I22" s="9">
        <v>4.7</v>
      </c>
      <c r="J22" s="1">
        <f t="shared" si="2"/>
        <v>4.2667</v>
      </c>
      <c r="K22" s="80">
        <f t="shared" si="2"/>
        <v>1.125</v>
      </c>
      <c r="L22" s="1"/>
      <c r="M22" s="87">
        <f t="shared" si="1"/>
        <v>3836.0464911198123</v>
      </c>
      <c r="N22" s="88">
        <f t="shared" si="1"/>
        <v>4144.327542476938</v>
      </c>
      <c r="O22" s="88">
        <f t="shared" si="1"/>
        <v>-308.2810513571257</v>
      </c>
      <c r="P22" s="89">
        <f t="shared" si="1"/>
        <v>0</v>
      </c>
    </row>
    <row r="23" spans="1:16" ht="9" customHeight="1">
      <c r="A23" s="1">
        <v>270</v>
      </c>
      <c r="B23" s="75">
        <v>1</v>
      </c>
      <c r="C23" s="76" t="s">
        <v>23</v>
      </c>
      <c r="D23" s="77">
        <f t="shared" si="0"/>
        <v>270</v>
      </c>
      <c r="E23" s="78">
        <f>(D23-G23)*(E72+K23)/(J23+K23)</f>
        <v>8.638641990358767</v>
      </c>
      <c r="F23" s="77">
        <f>D23-E23-G23</f>
        <v>3.865241504786809</v>
      </c>
      <c r="G23" s="79">
        <f>(I23+E72)/E71*D23</f>
        <v>257.4961165048544</v>
      </c>
      <c r="I23" s="9">
        <v>7.223</v>
      </c>
      <c r="J23" s="1">
        <f t="shared" si="2"/>
        <v>4.2667</v>
      </c>
      <c r="K23" s="80">
        <f t="shared" si="2"/>
        <v>1.125</v>
      </c>
      <c r="L23" s="1"/>
      <c r="M23" s="87">
        <f t="shared" si="1"/>
        <v>595.248593449626</v>
      </c>
      <c r="N23" s="88">
        <f t="shared" si="1"/>
        <v>19.044961089170126</v>
      </c>
      <c r="O23" s="88">
        <f t="shared" si="1"/>
        <v>8.521405811360978</v>
      </c>
      <c r="P23" s="89">
        <f t="shared" si="1"/>
        <v>567.6822265490948</v>
      </c>
    </row>
    <row r="24" spans="1:16" ht="9" customHeight="1">
      <c r="A24" s="1">
        <v>1525</v>
      </c>
      <c r="B24" s="75">
        <v>0</v>
      </c>
      <c r="C24" s="76" t="s">
        <v>24</v>
      </c>
      <c r="D24" s="77">
        <f t="shared" si="0"/>
        <v>0</v>
      </c>
      <c r="E24" s="78">
        <f>(D24-G24)*(E72+K24)/(J24+K24)</f>
        <v>0</v>
      </c>
      <c r="F24" s="77">
        <f>D24-E24-G24</f>
        <v>0</v>
      </c>
      <c r="G24" s="79">
        <f>(I24+E72)/E71*D24</f>
        <v>0</v>
      </c>
      <c r="I24" s="9">
        <v>5.908</v>
      </c>
      <c r="J24" s="1">
        <f t="shared" si="2"/>
        <v>4.2667</v>
      </c>
      <c r="K24" s="80">
        <f t="shared" si="2"/>
        <v>1.125</v>
      </c>
      <c r="L24" s="1"/>
      <c r="M24" s="87">
        <f t="shared" si="1"/>
        <v>0</v>
      </c>
      <c r="N24" s="88">
        <f t="shared" si="1"/>
        <v>0</v>
      </c>
      <c r="O24" s="88">
        <f t="shared" si="1"/>
        <v>0</v>
      </c>
      <c r="P24" s="89">
        <f t="shared" si="1"/>
        <v>0</v>
      </c>
    </row>
    <row r="25" spans="1:16" ht="9" customHeight="1">
      <c r="A25" s="1">
        <v>2010</v>
      </c>
      <c r="B25" s="75">
        <v>1</v>
      </c>
      <c r="C25" s="90" t="s">
        <v>25</v>
      </c>
      <c r="D25" s="77">
        <f t="shared" si="0"/>
        <v>2010</v>
      </c>
      <c r="E25" s="78">
        <f>(D25-G25)*(E72+K25)/(J25+K25)</f>
        <v>359.703957053011</v>
      </c>
      <c r="F25" s="77">
        <f>D25-E25-G25</f>
        <v>160.94458663630962</v>
      </c>
      <c r="G25" s="79">
        <f>(I25+E72)/E71*D25</f>
        <v>1489.3514563106794</v>
      </c>
      <c r="I25" s="9">
        <v>5.032</v>
      </c>
      <c r="J25" s="1">
        <f t="shared" si="2"/>
        <v>4.2667</v>
      </c>
      <c r="K25" s="80">
        <f t="shared" si="2"/>
        <v>1.125</v>
      </c>
      <c r="L25" s="1"/>
      <c r="M25" s="87">
        <f>D25*2.2046244201838</f>
        <v>4431.295084569439</v>
      </c>
      <c r="N25" s="88">
        <f>E25*2.2046244201838</f>
        <v>793.0121277558129</v>
      </c>
      <c r="O25" s="88">
        <f>F25*2.2046244201838</f>
        <v>354.82236599479546</v>
      </c>
      <c r="P25" s="89">
        <f>G25*2.2046244201838</f>
        <v>3283.46059081883</v>
      </c>
    </row>
    <row r="26" spans="1:16" ht="9" customHeight="1">
      <c r="A26" s="1">
        <v>40</v>
      </c>
      <c r="B26" s="75">
        <v>1</v>
      </c>
      <c r="C26" s="91" t="s">
        <v>26</v>
      </c>
      <c r="D26" s="77">
        <f t="shared" si="0"/>
        <v>40</v>
      </c>
      <c r="E26" s="78">
        <f>D26-F26</f>
        <v>26.151306637980596</v>
      </c>
      <c r="F26" s="77">
        <f>(J26-I26)/(J26+K26)*D26</f>
        <v>13.848693362019402</v>
      </c>
      <c r="G26" s="79">
        <v>0</v>
      </c>
      <c r="I26" s="9">
        <v>2.4</v>
      </c>
      <c r="J26" s="1">
        <f>J24</f>
        <v>4.2667</v>
      </c>
      <c r="K26" s="80">
        <f>K24</f>
        <v>1.125</v>
      </c>
      <c r="L26" s="1"/>
      <c r="M26" s="87">
        <f t="shared" si="1"/>
        <v>88.184976807352</v>
      </c>
      <c r="N26" s="88">
        <f t="shared" si="1"/>
        <v>57.65380923380673</v>
      </c>
      <c r="O26" s="88">
        <f t="shared" si="1"/>
        <v>30.531167573545265</v>
      </c>
      <c r="P26" s="89">
        <f t="shared" si="1"/>
        <v>0</v>
      </c>
    </row>
    <row r="27" spans="1:16" ht="9" customHeight="1">
      <c r="A27" s="1">
        <v>600</v>
      </c>
      <c r="B27" s="75">
        <v>0</v>
      </c>
      <c r="C27" s="90" t="s">
        <v>27</v>
      </c>
      <c r="D27" s="77">
        <f t="shared" si="0"/>
        <v>0</v>
      </c>
      <c r="E27" s="78">
        <f>D27-F27</f>
        <v>0</v>
      </c>
      <c r="F27" s="77">
        <f>(J27-I27)/(J27+K27)*D27</f>
        <v>0</v>
      </c>
      <c r="G27" s="79">
        <v>0</v>
      </c>
      <c r="I27" s="9">
        <v>2.11</v>
      </c>
      <c r="J27" s="1">
        <f aca="true" t="shared" si="3" ref="J27:J40">J26</f>
        <v>4.2667</v>
      </c>
      <c r="K27" s="80">
        <f aca="true" t="shared" si="4" ref="K27:K40">K26</f>
        <v>1.125</v>
      </c>
      <c r="L27" s="1"/>
      <c r="M27" s="87">
        <f t="shared" si="1"/>
        <v>0</v>
      </c>
      <c r="N27" s="88">
        <f t="shared" si="1"/>
        <v>0</v>
      </c>
      <c r="O27" s="88">
        <f t="shared" si="1"/>
        <v>0</v>
      </c>
      <c r="P27" s="89">
        <f t="shared" si="1"/>
        <v>0</v>
      </c>
    </row>
    <row r="28" spans="1:16" ht="9" customHeight="1">
      <c r="A28" s="1">
        <v>1020</v>
      </c>
      <c r="B28" s="75">
        <v>1</v>
      </c>
      <c r="C28" s="90" t="s">
        <v>28</v>
      </c>
      <c r="D28" s="77">
        <f t="shared" si="0"/>
        <v>1020</v>
      </c>
      <c r="E28" s="78">
        <f>D28-F28</f>
        <v>611.9962164066992</v>
      </c>
      <c r="F28" s="77">
        <f>(J28-I28)/(J28+K28)*D28</f>
        <v>408.00378359330085</v>
      </c>
      <c r="G28" s="79">
        <v>0</v>
      </c>
      <c r="I28" s="9">
        <v>2.11</v>
      </c>
      <c r="J28" s="1">
        <f t="shared" si="3"/>
        <v>4.2667</v>
      </c>
      <c r="K28" s="80">
        <f t="shared" si="4"/>
        <v>1.125</v>
      </c>
      <c r="L28" s="1"/>
      <c r="M28" s="87">
        <f t="shared" si="1"/>
        <v>2248.716908587476</v>
      </c>
      <c r="N28" s="88">
        <f t="shared" si="1"/>
        <v>1349.2218037502987</v>
      </c>
      <c r="O28" s="88">
        <f t="shared" si="1"/>
        <v>899.4951048371776</v>
      </c>
      <c r="P28" s="89">
        <f t="shared" si="1"/>
        <v>0</v>
      </c>
    </row>
    <row r="29" spans="1:16" ht="9" customHeight="1">
      <c r="A29" s="1">
        <v>240</v>
      </c>
      <c r="B29" s="75">
        <v>0</v>
      </c>
      <c r="C29" s="90" t="s">
        <v>29</v>
      </c>
      <c r="D29" s="77">
        <f t="shared" si="0"/>
        <v>0</v>
      </c>
      <c r="E29" s="78">
        <v>0</v>
      </c>
      <c r="F29" s="77">
        <v>0</v>
      </c>
      <c r="G29" s="79">
        <f>D29</f>
        <v>0</v>
      </c>
      <c r="J29" s="1">
        <f t="shared" si="3"/>
        <v>4.2667</v>
      </c>
      <c r="K29" s="80">
        <f t="shared" si="4"/>
        <v>1.125</v>
      </c>
      <c r="L29" s="1"/>
      <c r="M29" s="87">
        <f t="shared" si="1"/>
        <v>0</v>
      </c>
      <c r="N29" s="88">
        <f t="shared" si="1"/>
        <v>0</v>
      </c>
      <c r="O29" s="88">
        <f t="shared" si="1"/>
        <v>0</v>
      </c>
      <c r="P29" s="89">
        <f t="shared" si="1"/>
        <v>0</v>
      </c>
    </row>
    <row r="30" spans="1:16" ht="9" customHeight="1">
      <c r="A30" s="1">
        <v>300</v>
      </c>
      <c r="B30" s="75">
        <v>0</v>
      </c>
      <c r="C30" s="90" t="s">
        <v>30</v>
      </c>
      <c r="D30" s="77">
        <f t="shared" si="0"/>
        <v>0</v>
      </c>
      <c r="E30" s="78">
        <v>0</v>
      </c>
      <c r="F30" s="77">
        <v>0</v>
      </c>
      <c r="G30" s="79">
        <f>D30</f>
        <v>0</v>
      </c>
      <c r="J30" s="1">
        <f t="shared" si="3"/>
        <v>4.2667</v>
      </c>
      <c r="K30" s="80">
        <f t="shared" si="4"/>
        <v>1.125</v>
      </c>
      <c r="L30" s="1"/>
      <c r="M30" s="87">
        <f t="shared" si="1"/>
        <v>0</v>
      </c>
      <c r="N30" s="88">
        <f t="shared" si="1"/>
        <v>0</v>
      </c>
      <c r="O30" s="88">
        <f t="shared" si="1"/>
        <v>0</v>
      </c>
      <c r="P30" s="89">
        <f t="shared" si="1"/>
        <v>0</v>
      </c>
    </row>
    <row r="31" spans="1:16" ht="9" customHeight="1">
      <c r="A31" s="1">
        <v>342</v>
      </c>
      <c r="B31" s="75">
        <v>0</v>
      </c>
      <c r="C31" s="91" t="s">
        <v>31</v>
      </c>
      <c r="D31" s="77">
        <f t="shared" si="0"/>
        <v>0</v>
      </c>
      <c r="E31" s="78">
        <v>0</v>
      </c>
      <c r="F31" s="77">
        <v>0</v>
      </c>
      <c r="G31" s="79">
        <f>D31</f>
        <v>0</v>
      </c>
      <c r="J31" s="1">
        <f t="shared" si="3"/>
        <v>4.2667</v>
      </c>
      <c r="K31" s="80">
        <f t="shared" si="4"/>
        <v>1.125</v>
      </c>
      <c r="L31" s="1"/>
      <c r="M31" s="87">
        <f>D31*2.2046244201838</f>
        <v>0</v>
      </c>
      <c r="N31" s="88">
        <f>E31*2.2046244201838</f>
        <v>0</v>
      </c>
      <c r="O31" s="88">
        <f>F31*2.2046244201838</f>
        <v>0</v>
      </c>
      <c r="P31" s="89">
        <f>G31*2.2046244201838</f>
        <v>0</v>
      </c>
    </row>
    <row r="32" spans="1:16" ht="9" customHeight="1">
      <c r="A32" s="1"/>
      <c r="B32" s="75">
        <v>0</v>
      </c>
      <c r="C32" s="76" t="s">
        <v>32</v>
      </c>
      <c r="D32" s="77">
        <f>B32*1000</f>
        <v>0</v>
      </c>
      <c r="E32" s="78">
        <f>D32-F32</f>
        <v>0</v>
      </c>
      <c r="F32" s="77">
        <f>(J32-I32)/(J32+K32)*D32</f>
        <v>0</v>
      </c>
      <c r="G32" s="79">
        <v>0</v>
      </c>
      <c r="I32" s="9">
        <v>4.1</v>
      </c>
      <c r="J32" s="1">
        <f t="shared" si="3"/>
        <v>4.2667</v>
      </c>
      <c r="K32" s="80">
        <f t="shared" si="4"/>
        <v>1.125</v>
      </c>
      <c r="L32" s="1"/>
      <c r="M32" s="87">
        <f t="shared" si="1"/>
        <v>0</v>
      </c>
      <c r="N32" s="88">
        <f t="shared" si="1"/>
        <v>0</v>
      </c>
      <c r="O32" s="88">
        <f t="shared" si="1"/>
        <v>0</v>
      </c>
      <c r="P32" s="89">
        <f t="shared" si="1"/>
        <v>0</v>
      </c>
    </row>
    <row r="33" spans="1:16" ht="9" customHeight="1">
      <c r="A33" s="1">
        <v>-1890</v>
      </c>
      <c r="B33" s="75">
        <v>0</v>
      </c>
      <c r="C33" s="76" t="s">
        <v>33</v>
      </c>
      <c r="D33" s="77">
        <f>B33*A33</f>
        <v>0</v>
      </c>
      <c r="E33" s="78">
        <f>D33-F33</f>
        <v>0</v>
      </c>
      <c r="F33" s="77">
        <f>(J33-I33)/(J33+K33)*D33</f>
        <v>0</v>
      </c>
      <c r="G33" s="79">
        <v>0</v>
      </c>
      <c r="I33" s="9">
        <v>5.05</v>
      </c>
      <c r="J33" s="1">
        <f t="shared" si="3"/>
        <v>4.2667</v>
      </c>
      <c r="K33" s="80">
        <f t="shared" si="4"/>
        <v>1.125</v>
      </c>
      <c r="L33" s="1"/>
      <c r="M33" s="87">
        <f t="shared" si="1"/>
        <v>0</v>
      </c>
      <c r="N33" s="88">
        <f t="shared" si="1"/>
        <v>0</v>
      </c>
      <c r="O33" s="88">
        <f t="shared" si="1"/>
        <v>0</v>
      </c>
      <c r="P33" s="89">
        <f t="shared" si="1"/>
        <v>0</v>
      </c>
    </row>
    <row r="34" spans="1:16" ht="9" customHeight="1">
      <c r="A34" s="1">
        <v>-2340</v>
      </c>
      <c r="B34" s="75">
        <v>0</v>
      </c>
      <c r="C34" s="76" t="s">
        <v>34</v>
      </c>
      <c r="D34" s="77">
        <f>B34*A34</f>
        <v>0</v>
      </c>
      <c r="E34" s="78">
        <f>D34-F34</f>
        <v>0</v>
      </c>
      <c r="F34" s="77">
        <f>(J34-I34)/(J34+K34)*D34</f>
        <v>0</v>
      </c>
      <c r="G34" s="79">
        <v>0</v>
      </c>
      <c r="I34" s="9">
        <v>-3.5</v>
      </c>
      <c r="J34" s="1">
        <f t="shared" si="3"/>
        <v>4.2667</v>
      </c>
      <c r="K34" s="80">
        <f t="shared" si="4"/>
        <v>1.125</v>
      </c>
      <c r="L34" s="1"/>
      <c r="M34" s="87">
        <f t="shared" si="1"/>
        <v>0</v>
      </c>
      <c r="N34" s="88">
        <f t="shared" si="1"/>
        <v>0</v>
      </c>
      <c r="O34" s="88">
        <f t="shared" si="1"/>
        <v>0</v>
      </c>
      <c r="P34" s="89">
        <f t="shared" si="1"/>
        <v>0</v>
      </c>
    </row>
    <row r="35" spans="1:16" ht="9" customHeight="1">
      <c r="A35" s="1">
        <v>-706</v>
      </c>
      <c r="B35" s="75">
        <v>0</v>
      </c>
      <c r="C35" s="76" t="s">
        <v>35</v>
      </c>
      <c r="D35" s="77">
        <f>B35*A35</f>
        <v>0</v>
      </c>
      <c r="E35" s="78">
        <f>D35-F35</f>
        <v>0</v>
      </c>
      <c r="F35" s="77">
        <f>(J35-I35)/(J35+K35)*D35</f>
        <v>0</v>
      </c>
      <c r="G35" s="79">
        <v>0</v>
      </c>
      <c r="I35" s="9">
        <v>2.956</v>
      </c>
      <c r="J35" s="1">
        <f t="shared" si="3"/>
        <v>4.2667</v>
      </c>
      <c r="K35" s="80">
        <f t="shared" si="4"/>
        <v>1.125</v>
      </c>
      <c r="L35" s="1"/>
      <c r="M35" s="87">
        <f t="shared" si="1"/>
        <v>0</v>
      </c>
      <c r="N35" s="88">
        <f t="shared" si="1"/>
        <v>0</v>
      </c>
      <c r="O35" s="88">
        <f t="shared" si="1"/>
        <v>0</v>
      </c>
      <c r="P35" s="89">
        <f t="shared" si="1"/>
        <v>0</v>
      </c>
    </row>
    <row r="36" spans="1:16" ht="9" customHeight="1">
      <c r="A36" s="1"/>
      <c r="B36" s="75">
        <v>0</v>
      </c>
      <c r="C36" s="76" t="s">
        <v>36</v>
      </c>
      <c r="D36" s="77">
        <v>0</v>
      </c>
      <c r="E36" s="78">
        <f>G36*(K36+E72)/(J36+K36)*(-1)</f>
        <v>0</v>
      </c>
      <c r="F36" s="77">
        <f>(G36+E36)*(-1)</f>
        <v>0</v>
      </c>
      <c r="G36" s="79">
        <f>E69*B36*0.7034/E71*1000</f>
        <v>0</v>
      </c>
      <c r="J36" s="1">
        <f t="shared" si="3"/>
        <v>4.2667</v>
      </c>
      <c r="K36" s="80">
        <f t="shared" si="4"/>
        <v>1.125</v>
      </c>
      <c r="L36" s="1"/>
      <c r="M36" s="87">
        <f t="shared" si="1"/>
        <v>0</v>
      </c>
      <c r="N36" s="88">
        <f t="shared" si="1"/>
        <v>0</v>
      </c>
      <c r="O36" s="88">
        <f t="shared" si="1"/>
        <v>0</v>
      </c>
      <c r="P36" s="89">
        <f t="shared" si="1"/>
        <v>0</v>
      </c>
    </row>
    <row r="37" spans="1:16" ht="9" customHeight="1">
      <c r="A37" s="1"/>
      <c r="B37" s="92"/>
      <c r="C37" s="76"/>
      <c r="D37" s="77"/>
      <c r="E37" s="78"/>
      <c r="F37" s="77"/>
      <c r="G37" s="79"/>
      <c r="J37" s="1">
        <f t="shared" si="3"/>
        <v>4.2667</v>
      </c>
      <c r="K37" s="80">
        <f t="shared" si="4"/>
        <v>1.125</v>
      </c>
      <c r="L37" s="1"/>
      <c r="M37" s="87"/>
      <c r="N37" s="88"/>
      <c r="O37" s="88"/>
      <c r="P37" s="89"/>
    </row>
    <row r="38" spans="1:16" ht="9" customHeight="1">
      <c r="A38" s="1"/>
      <c r="B38" s="92"/>
      <c r="C38" s="76" t="s">
        <v>37</v>
      </c>
      <c r="D38" s="77"/>
      <c r="E38" s="84"/>
      <c r="F38" s="85"/>
      <c r="G38" s="86"/>
      <c r="J38" s="1">
        <f t="shared" si="3"/>
        <v>4.2667</v>
      </c>
      <c r="K38" s="80">
        <f t="shared" si="4"/>
        <v>1.125</v>
      </c>
      <c r="L38" s="1"/>
      <c r="M38" s="87"/>
      <c r="N38" s="88"/>
      <c r="O38" s="88"/>
      <c r="P38" s="89"/>
    </row>
    <row r="39" spans="1:16" ht="9" customHeight="1">
      <c r="A39" s="1">
        <v>1.4079</v>
      </c>
      <c r="B39" s="75">
        <v>0</v>
      </c>
      <c r="C39" s="76" t="s">
        <v>80</v>
      </c>
      <c r="D39" s="77">
        <v>0</v>
      </c>
      <c r="E39" s="84">
        <f>(E71-E72-K39)*G39/(J39+K39)</f>
        <v>0</v>
      </c>
      <c r="F39" s="85">
        <f>(E39+G39)*(-1)</f>
        <v>0</v>
      </c>
      <c r="G39" s="86">
        <f>A39/E71*B39*1000*(-1)</f>
        <v>0</v>
      </c>
      <c r="J39" s="1">
        <f t="shared" si="3"/>
        <v>4.2667</v>
      </c>
      <c r="K39" s="80">
        <f t="shared" si="4"/>
        <v>1.125</v>
      </c>
      <c r="L39" s="1"/>
      <c r="M39" s="87">
        <f t="shared" si="1"/>
        <v>0</v>
      </c>
      <c r="N39" s="88">
        <f t="shared" si="1"/>
        <v>0</v>
      </c>
      <c r="O39" s="88">
        <f t="shared" si="1"/>
        <v>0</v>
      </c>
      <c r="P39" s="89">
        <f t="shared" si="1"/>
        <v>0</v>
      </c>
    </row>
    <row r="40" spans="1:16" ht="9" customHeight="1">
      <c r="A40" s="1">
        <v>1.4079</v>
      </c>
      <c r="B40" s="75">
        <v>0</v>
      </c>
      <c r="C40" s="76" t="s">
        <v>79</v>
      </c>
      <c r="D40" s="77">
        <v>0</v>
      </c>
      <c r="E40" s="84">
        <f>(E71-E72-K40)*G40/(J40+K40)</f>
        <v>0</v>
      </c>
      <c r="F40" s="85">
        <f>(E40+G40)*(-1)</f>
        <v>0</v>
      </c>
      <c r="G40" s="86">
        <f>A40/E71*B40*1000</f>
        <v>0</v>
      </c>
      <c r="J40" s="1">
        <f t="shared" si="3"/>
        <v>4.2667</v>
      </c>
      <c r="K40" s="80">
        <f t="shared" si="4"/>
        <v>1.125</v>
      </c>
      <c r="L40" s="1"/>
      <c r="M40" s="87">
        <f t="shared" si="1"/>
        <v>0</v>
      </c>
      <c r="N40" s="88">
        <f t="shared" si="1"/>
        <v>0</v>
      </c>
      <c r="O40" s="88">
        <f t="shared" si="1"/>
        <v>0</v>
      </c>
      <c r="P40" s="89">
        <f t="shared" si="1"/>
        <v>0</v>
      </c>
    </row>
    <row r="41" spans="1:16" ht="9" customHeight="1">
      <c r="A41" s="1"/>
      <c r="B41" s="92"/>
      <c r="C41" s="90" t="s">
        <v>38</v>
      </c>
      <c r="D41" s="93"/>
      <c r="E41" s="78"/>
      <c r="F41" s="77"/>
      <c r="G41" s="94"/>
      <c r="H41" s="1"/>
      <c r="I41" s="80"/>
      <c r="J41" s="80"/>
      <c r="K41" s="1"/>
      <c r="L41" s="1"/>
      <c r="M41" s="87"/>
      <c r="N41" s="88"/>
      <c r="O41" s="88"/>
      <c r="P41" s="89"/>
    </row>
    <row r="42" spans="1:16" ht="9" customHeight="1" thickBot="1">
      <c r="A42" s="1"/>
      <c r="B42" s="92"/>
      <c r="C42" s="76" t="s">
        <v>39</v>
      </c>
      <c r="D42" s="77"/>
      <c r="E42" s="78"/>
      <c r="F42" s="77"/>
      <c r="G42" s="79"/>
      <c r="H42" s="1"/>
      <c r="I42" s="80"/>
      <c r="J42" s="80"/>
      <c r="K42" s="1"/>
      <c r="L42" s="1"/>
      <c r="M42" s="95"/>
      <c r="N42" s="96"/>
      <c r="O42" s="96"/>
      <c r="P42" s="97"/>
    </row>
    <row r="43" spans="1:12" ht="13.5" customHeight="1">
      <c r="A43" s="1"/>
      <c r="B43" s="22"/>
      <c r="C43" s="3" t="s">
        <v>0</v>
      </c>
      <c r="D43" s="98"/>
      <c r="E43" s="3"/>
      <c r="F43" s="98"/>
      <c r="G43" s="23"/>
      <c r="H43" s="1"/>
      <c r="I43" s="1"/>
      <c r="J43" s="7"/>
      <c r="K43" s="7"/>
      <c r="L43" s="8"/>
    </row>
    <row r="44" spans="1:12" ht="13.5" customHeight="1">
      <c r="A44" s="1"/>
      <c r="B44" s="10"/>
      <c r="C44" s="55" t="s">
        <v>40</v>
      </c>
      <c r="D44" s="99">
        <f>SUM(D14,D18:D40)</f>
        <v>68898</v>
      </c>
      <c r="E44" s="99">
        <f>SUM(E14,E18:E40)</f>
        <v>30876.811817327645</v>
      </c>
      <c r="F44" s="99">
        <f>SUM(F14,F18:F40)</f>
        <v>18123.490270050996</v>
      </c>
      <c r="G44" s="99">
        <f>SUM(G14,G18:G40)</f>
        <v>19897.69791262136</v>
      </c>
      <c r="H44" s="1"/>
      <c r="I44" s="1"/>
      <c r="J44" s="7"/>
      <c r="K44" s="7"/>
      <c r="L44" s="8"/>
    </row>
    <row r="45" spans="1:12" ht="13.5" thickBot="1">
      <c r="A45" s="1"/>
      <c r="B45" s="17"/>
      <c r="C45" s="100" t="s">
        <v>41</v>
      </c>
      <c r="D45" s="101">
        <f>D44*2.2045855</f>
        <v>151891.53177899998</v>
      </c>
      <c r="E45" s="101">
        <f>E44*2.2045855</f>
        <v>68070.57161870917</v>
      </c>
      <c r="F45" s="101">
        <f>F44*2.2045855</f>
        <v>39954.783858745504</v>
      </c>
      <c r="G45" s="102">
        <f>G44*2.2045855</f>
        <v>43866.17630154531</v>
      </c>
      <c r="H45" s="1"/>
      <c r="I45" s="1"/>
      <c r="J45" s="7"/>
      <c r="K45" s="7"/>
      <c r="L45" s="8"/>
    </row>
    <row r="46" spans="1:12" ht="9.75" customHeight="1">
      <c r="A46" s="1"/>
      <c r="B46" s="22"/>
      <c r="C46" s="103" t="s">
        <v>95</v>
      </c>
      <c r="D46" s="104">
        <f>E44/3000</f>
        <v>10.292270605775881</v>
      </c>
      <c r="E46" s="105">
        <f aca="true" t="shared" si="5" ref="E46:E53">D46*2204.5855</f>
        <v>22690.190539569725</v>
      </c>
      <c r="F46" s="106" t="s">
        <v>42</v>
      </c>
      <c r="G46" s="23"/>
      <c r="H46" s="1"/>
      <c r="I46" s="1"/>
      <c r="J46" s="7"/>
      <c r="K46" s="7"/>
      <c r="L46" s="8"/>
    </row>
    <row r="47" spans="1:12" ht="9.75" customHeight="1">
      <c r="A47" s="1"/>
      <c r="B47" s="10"/>
      <c r="C47" s="107" t="s">
        <v>43</v>
      </c>
      <c r="D47" s="108">
        <f>E44/3000</f>
        <v>10.292270605775881</v>
      </c>
      <c r="E47" s="109">
        <f t="shared" si="5"/>
        <v>22690.190539569725</v>
      </c>
      <c r="F47" s="110" t="s">
        <v>44</v>
      </c>
      <c r="G47" s="111">
        <v>3.05</v>
      </c>
      <c r="H47" s="1"/>
      <c r="I47" s="1"/>
      <c r="J47" s="7"/>
      <c r="K47" s="7"/>
      <c r="L47" s="8"/>
    </row>
    <row r="48" spans="1:12" ht="9.75" customHeight="1">
      <c r="A48" s="1"/>
      <c r="B48" s="10"/>
      <c r="C48" s="107" t="s">
        <v>45</v>
      </c>
      <c r="D48" s="108">
        <f>E44/3000</f>
        <v>10.292270605775881</v>
      </c>
      <c r="E48" s="109">
        <f t="shared" si="5"/>
        <v>22690.190539569725</v>
      </c>
      <c r="F48" s="110" t="s">
        <v>46</v>
      </c>
      <c r="G48" s="111">
        <v>1.65</v>
      </c>
      <c r="H48" s="1"/>
      <c r="I48" s="1"/>
      <c r="J48" s="7"/>
      <c r="K48" s="7"/>
      <c r="L48" s="8"/>
    </row>
    <row r="49" spans="1:12" ht="9.75" customHeight="1">
      <c r="A49" s="1"/>
      <c r="B49" s="10"/>
      <c r="C49" s="107" t="s">
        <v>47</v>
      </c>
      <c r="D49" s="108">
        <f>F44/2000</f>
        <v>9.061745135025498</v>
      </c>
      <c r="E49" s="109">
        <f t="shared" si="5"/>
        <v>19977.391929372756</v>
      </c>
      <c r="F49" s="110" t="s">
        <v>48</v>
      </c>
      <c r="G49" s="111">
        <v>2.45</v>
      </c>
      <c r="H49" s="1"/>
      <c r="I49" s="1"/>
      <c r="J49" s="7"/>
      <c r="K49" s="7"/>
      <c r="L49" s="8"/>
    </row>
    <row r="50" spans="1:12" ht="9.75" customHeight="1">
      <c r="A50" s="1"/>
      <c r="B50" s="10"/>
      <c r="C50" s="107" t="s">
        <v>49</v>
      </c>
      <c r="D50" s="108">
        <f>F44/2000</f>
        <v>9.061745135025498</v>
      </c>
      <c r="E50" s="109">
        <f t="shared" si="5"/>
        <v>19977.391929372756</v>
      </c>
      <c r="F50" s="110" t="s">
        <v>50</v>
      </c>
      <c r="G50" s="111">
        <v>1.65</v>
      </c>
      <c r="H50" s="1"/>
      <c r="I50" s="1"/>
      <c r="J50" s="7"/>
      <c r="K50" s="7"/>
      <c r="L50" s="8"/>
    </row>
    <row r="51" spans="1:12" ht="9.75" customHeight="1">
      <c r="A51" s="1"/>
      <c r="B51" s="10"/>
      <c r="C51" s="107" t="s">
        <v>51</v>
      </c>
      <c r="D51" s="108">
        <f>G44/3000</f>
        <v>6.632565970873786</v>
      </c>
      <c r="E51" s="109">
        <f t="shared" si="5"/>
        <v>14622.058767181772</v>
      </c>
      <c r="F51" s="110" t="s">
        <v>52</v>
      </c>
      <c r="G51" s="111">
        <f>E71-E72-1.95-(G52)</f>
        <v>4.370000000000001</v>
      </c>
      <c r="H51" s="1"/>
      <c r="I51" s="1"/>
      <c r="J51" s="7"/>
      <c r="K51" s="7"/>
      <c r="L51" s="8"/>
    </row>
    <row r="52" spans="1:12" ht="9.75" customHeight="1">
      <c r="A52" s="1"/>
      <c r="B52" s="10"/>
      <c r="C52" s="107" t="s">
        <v>53</v>
      </c>
      <c r="D52" s="108">
        <f>G44/3000</f>
        <v>6.632565970873786</v>
      </c>
      <c r="E52" s="109">
        <f t="shared" si="5"/>
        <v>14622.058767181772</v>
      </c>
      <c r="F52" s="110" t="s">
        <v>54</v>
      </c>
      <c r="G52" s="112">
        <v>1.38</v>
      </c>
      <c r="H52" s="1"/>
      <c r="I52" s="1"/>
      <c r="J52" s="7"/>
      <c r="K52" s="7"/>
      <c r="L52" s="8"/>
    </row>
    <row r="53" spans="1:12" ht="9.75" customHeight="1" thickBot="1">
      <c r="A53" s="1"/>
      <c r="B53" s="17"/>
      <c r="C53" s="113" t="s">
        <v>98</v>
      </c>
      <c r="D53" s="127">
        <f>G44/3000</f>
        <v>6.632565970873786</v>
      </c>
      <c r="E53" s="128">
        <f t="shared" si="5"/>
        <v>14622.058767181772</v>
      </c>
      <c r="F53" s="129" t="s">
        <v>99</v>
      </c>
      <c r="G53" s="130">
        <v>1.38</v>
      </c>
      <c r="H53" s="1"/>
      <c r="I53" s="1"/>
      <c r="J53" s="7"/>
      <c r="K53" s="7"/>
      <c r="L53" s="8"/>
    </row>
    <row r="54" spans="1:12" ht="9.75" customHeight="1">
      <c r="A54" s="1"/>
      <c r="B54" s="1"/>
      <c r="C54" s="1" t="s">
        <v>0</v>
      </c>
      <c r="D54" s="1"/>
      <c r="E54" s="1"/>
      <c r="F54" s="1"/>
      <c r="G54" s="1"/>
      <c r="H54" s="1"/>
      <c r="I54" s="1"/>
      <c r="J54" s="7"/>
      <c r="K54" s="7"/>
      <c r="L54" s="8"/>
    </row>
    <row r="55" spans="1:12" ht="9.75" customHeight="1">
      <c r="A55" s="1"/>
      <c r="B55" s="1"/>
      <c r="C55" s="1"/>
      <c r="D55" s="1"/>
      <c r="E55" s="1"/>
      <c r="F55" s="1" t="s">
        <v>55</v>
      </c>
      <c r="G55" s="1"/>
      <c r="H55" s="1"/>
      <c r="I55" s="1"/>
      <c r="J55" s="7"/>
      <c r="K55" s="7"/>
      <c r="L55" s="8"/>
    </row>
    <row r="56" spans="1:12" ht="9.75" customHeight="1">
      <c r="A56" s="1"/>
      <c r="B56" s="1"/>
      <c r="C56" s="1" t="s">
        <v>56</v>
      </c>
      <c r="D56" s="1"/>
      <c r="E56" s="1"/>
      <c r="F56" s="1" t="s">
        <v>57</v>
      </c>
      <c r="G56" s="1" t="s">
        <v>58</v>
      </c>
      <c r="H56" s="1"/>
      <c r="I56" s="1"/>
      <c r="J56" s="7"/>
      <c r="K56" s="7"/>
      <c r="L56" s="8"/>
    </row>
    <row r="57" spans="1:12" ht="9.75" customHeight="1">
      <c r="A57" s="1"/>
      <c r="B57" s="1"/>
      <c r="C57" s="114" t="s">
        <v>59</v>
      </c>
      <c r="D57" s="115">
        <f>D46+D47</f>
        <v>20.584541211551763</v>
      </c>
      <c r="E57" s="1">
        <f aca="true" t="shared" si="6" ref="E57:E65">IF(D57&gt;F57,"----------&gt;&gt;","")</f>
      </c>
      <c r="F57" s="115">
        <f>G47*3+15+(E74-2.5)*10</f>
        <v>29.15</v>
      </c>
      <c r="G57" s="115">
        <f>G47*3+18</f>
        <v>27.15</v>
      </c>
      <c r="H57" s="1">
        <f aca="true" t="shared" si="7" ref="H57:H65">IF(D57&gt;G57,"&lt;&lt;----","")</f>
      </c>
      <c r="I57" s="1"/>
      <c r="J57" s="7"/>
      <c r="K57" s="7"/>
      <c r="L57" s="8"/>
    </row>
    <row r="58" spans="1:12" ht="9.75" customHeight="1">
      <c r="A58" s="1"/>
      <c r="B58" s="1"/>
      <c r="C58" s="114" t="s">
        <v>60</v>
      </c>
      <c r="D58" s="115">
        <f>SUM(D46:D48)</f>
        <v>30.876811817327642</v>
      </c>
      <c r="E58" s="1">
        <f t="shared" si="6"/>
      </c>
      <c r="F58" s="115">
        <f>(SUM(G47:G48))*3+15+(E74-2.5)*10</f>
        <v>34.099999999999994</v>
      </c>
      <c r="G58" s="115">
        <f>SUM(G47:G48)*3+18</f>
        <v>32.099999999999994</v>
      </c>
      <c r="H58" s="1">
        <f t="shared" si="7"/>
      </c>
      <c r="I58" s="1"/>
      <c r="J58" s="7"/>
      <c r="K58" s="7"/>
      <c r="L58" s="8"/>
    </row>
    <row r="59" spans="1:12" ht="9.75" customHeight="1">
      <c r="A59" s="1"/>
      <c r="B59" s="1"/>
      <c r="C59" s="114" t="s">
        <v>61</v>
      </c>
      <c r="D59" s="115">
        <f>SUM(D46:D50)</f>
        <v>49.000302087378635</v>
      </c>
      <c r="E59" s="1" t="str">
        <f t="shared" si="6"/>
        <v>----------&gt;&gt;</v>
      </c>
      <c r="F59" s="115">
        <f>(SUM(G47:G50))*3+15+(E74-2.5)*10</f>
        <v>46.4</v>
      </c>
      <c r="G59" s="115">
        <f>SUM(G47:G50)*3+18</f>
        <v>44.4</v>
      </c>
      <c r="H59" s="1" t="str">
        <f t="shared" si="7"/>
        <v>&lt;&lt;----</v>
      </c>
      <c r="I59" s="1"/>
      <c r="J59" s="7"/>
      <c r="K59" s="7"/>
      <c r="L59" s="8"/>
    </row>
    <row r="60" spans="1:12" ht="9.75" customHeight="1">
      <c r="A60" s="1"/>
      <c r="B60" s="1"/>
      <c r="C60" s="114" t="s">
        <v>62</v>
      </c>
      <c r="D60" s="115">
        <f>SUM(D46:D52)</f>
        <v>62.265434029126205</v>
      </c>
      <c r="E60" s="1">
        <f t="shared" si="6"/>
      </c>
      <c r="F60" s="115">
        <f>(SUM(G47:G52))*3+15+(E74-2.5)*10</f>
        <v>63.650000000000006</v>
      </c>
      <c r="G60" s="115">
        <f>SUM(G47:G52)*3+18</f>
        <v>61.650000000000006</v>
      </c>
      <c r="H60" s="1" t="str">
        <f t="shared" si="7"/>
        <v>&lt;&lt;----</v>
      </c>
      <c r="I60" s="1"/>
      <c r="J60" s="7"/>
      <c r="K60" s="7"/>
      <c r="L60" s="8"/>
    </row>
    <row r="61" spans="1:12" ht="9.75" customHeight="1">
      <c r="A61" s="1"/>
      <c r="B61" s="1"/>
      <c r="C61" s="114" t="s">
        <v>63</v>
      </c>
      <c r="D61" s="115">
        <f>SUM(D47:D50)</f>
        <v>38.70803148160276</v>
      </c>
      <c r="E61" s="1" t="str">
        <f t="shared" si="6"/>
        <v>----------&gt;&gt;</v>
      </c>
      <c r="F61" s="115">
        <f>(SUM(G48:G50)*3+15+(E74-2.5)*10)</f>
        <v>37.25</v>
      </c>
      <c r="G61" s="115">
        <f>SUM(G48:G50)*3+18</f>
        <v>35.25</v>
      </c>
      <c r="H61" s="1" t="str">
        <f t="shared" si="7"/>
        <v>&lt;&lt;----</v>
      </c>
      <c r="I61" s="1"/>
      <c r="J61" s="7"/>
      <c r="K61" s="7"/>
      <c r="L61" s="8"/>
    </row>
    <row r="62" spans="1:12" ht="9.75" customHeight="1">
      <c r="A62" s="1"/>
      <c r="B62" s="1"/>
      <c r="C62" s="114" t="s">
        <v>64</v>
      </c>
      <c r="D62" s="115">
        <f>SUM(D47:D52)</f>
        <v>51.97316342335033</v>
      </c>
      <c r="E62" s="1">
        <f t="shared" si="6"/>
      </c>
      <c r="F62" s="115">
        <f>(SUM(G48:G52))*3+15+(E74-2.5)*10</f>
        <v>54.5</v>
      </c>
      <c r="G62" s="115">
        <f>SUM(G48:G52)*3+18</f>
        <v>52.5</v>
      </c>
      <c r="H62" s="1">
        <f t="shared" si="7"/>
      </c>
      <c r="I62" s="1"/>
      <c r="J62" s="7"/>
      <c r="K62" s="7"/>
      <c r="L62" s="8"/>
    </row>
    <row r="63" spans="1:12" ht="9.75" customHeight="1">
      <c r="A63" s="1"/>
      <c r="B63" s="1"/>
      <c r="C63" s="114" t="s">
        <v>65</v>
      </c>
      <c r="D63" s="115">
        <f>SUM(D49:D50)</f>
        <v>18.123490270050997</v>
      </c>
      <c r="E63" s="1">
        <f t="shared" si="6"/>
      </c>
      <c r="F63" s="115">
        <f>G50*3+15+(E74-2.5)*10</f>
        <v>24.95</v>
      </c>
      <c r="G63" s="115">
        <f>G50*3+18</f>
        <v>22.95</v>
      </c>
      <c r="H63" s="1">
        <f t="shared" si="7"/>
      </c>
      <c r="I63" s="1"/>
      <c r="J63" s="7"/>
      <c r="K63" s="7"/>
      <c r="L63" s="8"/>
    </row>
    <row r="64" spans="1:12" ht="9.75" customHeight="1">
      <c r="A64" s="1"/>
      <c r="B64" s="1"/>
      <c r="C64" s="114" t="s">
        <v>66</v>
      </c>
      <c r="D64" s="115">
        <f>SUM(D49:D52)</f>
        <v>31.38862221179857</v>
      </c>
      <c r="E64" s="1">
        <f t="shared" si="6"/>
      </c>
      <c r="F64" s="115">
        <f>SUM(G50:G52)*3+15+(E74-2.5)*10</f>
        <v>42.2</v>
      </c>
      <c r="G64" s="115">
        <f>SUM(G50:G52)*3+18</f>
        <v>40.2</v>
      </c>
      <c r="H64" s="1">
        <f t="shared" si="7"/>
      </c>
      <c r="I64" s="1"/>
      <c r="J64" s="7"/>
      <c r="K64" s="7"/>
      <c r="L64" s="8"/>
    </row>
    <row r="65" spans="1:12" ht="9.75" customHeight="1">
      <c r="A65" s="1"/>
      <c r="B65" s="1"/>
      <c r="C65" s="114" t="s">
        <v>67</v>
      </c>
      <c r="D65" s="115">
        <f>SUM(D51:D52)</f>
        <v>13.265131941747573</v>
      </c>
      <c r="E65" s="1">
        <f t="shared" si="6"/>
      </c>
      <c r="F65" s="115">
        <f>(G52*3+15)+(E74-2.5)*10</f>
        <v>24.14</v>
      </c>
      <c r="G65" s="115">
        <f>G52*3+18</f>
        <v>22.14</v>
      </c>
      <c r="H65" s="1">
        <f t="shared" si="7"/>
      </c>
      <c r="I65" s="1"/>
      <c r="J65" s="7"/>
      <c r="K65" s="7"/>
      <c r="L65" s="8"/>
    </row>
    <row r="66" spans="1:12" ht="9.75" customHeight="1" thickBot="1">
      <c r="A66" s="1"/>
      <c r="B66" s="1"/>
      <c r="C66" s="1" t="s">
        <v>0</v>
      </c>
      <c r="D66" s="1"/>
      <c r="E66" s="1"/>
      <c r="F66" s="1"/>
      <c r="G66" s="1"/>
      <c r="H66" s="1"/>
      <c r="I66" s="1"/>
      <c r="J66" s="7"/>
      <c r="K66" s="7"/>
      <c r="L66" s="8"/>
    </row>
    <row r="67" spans="1:12" ht="9.75" customHeight="1">
      <c r="A67" s="1"/>
      <c r="B67" s="1"/>
      <c r="C67" s="22" t="s">
        <v>68</v>
      </c>
      <c r="D67" s="3" t="s">
        <v>69</v>
      </c>
      <c r="E67" s="116">
        <v>26.56</v>
      </c>
      <c r="F67" s="117">
        <v>2.355</v>
      </c>
      <c r="G67" s="3" t="s">
        <v>70</v>
      </c>
      <c r="H67" s="118">
        <f>E69-H68</f>
        <v>7.932149660194174</v>
      </c>
      <c r="I67" s="119"/>
      <c r="J67" s="7"/>
      <c r="K67" s="7"/>
      <c r="L67" s="8"/>
    </row>
    <row r="68" spans="1:12" ht="9.75" customHeight="1">
      <c r="A68" s="1"/>
      <c r="B68" s="1"/>
      <c r="C68" s="10" t="s">
        <v>71</v>
      </c>
      <c r="D68" s="1" t="s">
        <v>69</v>
      </c>
      <c r="E68" s="115">
        <v>10.62</v>
      </c>
      <c r="F68" s="80">
        <v>1.4023</v>
      </c>
      <c r="G68" s="1" t="s">
        <v>72</v>
      </c>
      <c r="H68" s="120">
        <f>E69*F69/E71</f>
        <v>14.022850339805824</v>
      </c>
      <c r="I68" s="119"/>
      <c r="J68" s="7"/>
      <c r="K68" s="7"/>
      <c r="L68" s="8"/>
    </row>
    <row r="69" spans="1:12" ht="9.75" customHeight="1">
      <c r="A69" s="1"/>
      <c r="B69" s="1"/>
      <c r="C69" s="10" t="s">
        <v>73</v>
      </c>
      <c r="D69" s="1" t="s">
        <v>69</v>
      </c>
      <c r="E69" s="115">
        <v>21.955</v>
      </c>
      <c r="F69" s="80">
        <v>6.5787</v>
      </c>
      <c r="G69" s="1"/>
      <c r="H69" s="38"/>
      <c r="I69" s="37"/>
      <c r="J69" s="7"/>
      <c r="K69" s="7"/>
      <c r="L69" s="121"/>
    </row>
    <row r="70" spans="1:12" ht="9.75" customHeight="1">
      <c r="A70" s="1"/>
      <c r="B70" s="1"/>
      <c r="C70" s="10" t="s">
        <v>89</v>
      </c>
      <c r="D70" s="1" t="s">
        <v>74</v>
      </c>
      <c r="E70" s="122">
        <v>4.128</v>
      </c>
      <c r="F70" s="80"/>
      <c r="G70" s="1"/>
      <c r="H70" s="38"/>
      <c r="I70" s="119"/>
      <c r="J70" s="7"/>
      <c r="K70" s="7"/>
      <c r="L70" s="8"/>
    </row>
    <row r="71" spans="1:14" ht="9.75" customHeight="1">
      <c r="A71" s="1"/>
      <c r="B71" s="1"/>
      <c r="C71" s="10" t="s">
        <v>90</v>
      </c>
      <c r="D71" s="1" t="s">
        <v>75</v>
      </c>
      <c r="E71" s="123">
        <v>10.3</v>
      </c>
      <c r="F71" s="124" t="s">
        <v>93</v>
      </c>
      <c r="G71" s="1" t="s">
        <v>76</v>
      </c>
      <c r="H71" s="120">
        <f>E67+E68+H67</f>
        <v>45.11214966019418</v>
      </c>
      <c r="I71" s="119"/>
      <c r="J71" s="7"/>
      <c r="K71" s="7"/>
      <c r="L71" s="8"/>
      <c r="N71" s="43" t="s">
        <v>94</v>
      </c>
    </row>
    <row r="72" spans="1:12" ht="9.75" customHeight="1">
      <c r="A72" s="1"/>
      <c r="B72" s="1"/>
      <c r="C72" s="10" t="s">
        <v>91</v>
      </c>
      <c r="D72" s="1" t="s">
        <v>75</v>
      </c>
      <c r="E72" s="80">
        <v>2.6</v>
      </c>
      <c r="F72" s="80"/>
      <c r="G72" s="1" t="s">
        <v>77</v>
      </c>
      <c r="H72" s="120">
        <f>(E67*F67+E68*F68+H67*E72)/H71</f>
        <v>2.1738005361122212</v>
      </c>
      <c r="I72" s="119"/>
      <c r="J72" s="7"/>
      <c r="K72" s="7"/>
      <c r="L72" s="8"/>
    </row>
    <row r="73" spans="1:12" ht="9.75" customHeight="1">
      <c r="A73" s="1"/>
      <c r="B73" s="1"/>
      <c r="C73" s="10" t="s">
        <v>78</v>
      </c>
      <c r="D73" s="1" t="s">
        <v>75</v>
      </c>
      <c r="E73" s="80">
        <v>13.332</v>
      </c>
      <c r="F73" s="80"/>
      <c r="G73" s="1"/>
      <c r="H73" s="38"/>
      <c r="I73" s="37"/>
      <c r="J73" s="7"/>
      <c r="K73" s="7"/>
      <c r="L73" s="8"/>
    </row>
    <row r="74" spans="1:12" ht="12" customHeight="1" thickBot="1">
      <c r="A74" s="1"/>
      <c r="B74" s="1"/>
      <c r="C74" s="17" t="s">
        <v>92</v>
      </c>
      <c r="D74" s="18" t="s">
        <v>75</v>
      </c>
      <c r="E74" s="125">
        <v>3</v>
      </c>
      <c r="F74" s="126"/>
      <c r="G74" s="18"/>
      <c r="H74" s="66"/>
      <c r="I74" s="37"/>
      <c r="J74" s="7"/>
      <c r="K74" s="7"/>
      <c r="L74" s="8"/>
    </row>
    <row r="75" spans="1:12" ht="9.75" customHeight="1">
      <c r="A75" s="1"/>
      <c r="B75" s="1"/>
      <c r="C75" s="1" t="s">
        <v>0</v>
      </c>
      <c r="D75" s="1"/>
      <c r="E75" s="1"/>
      <c r="F75" s="1"/>
      <c r="G75" s="1"/>
      <c r="H75" s="1"/>
      <c r="I75" s="1"/>
      <c r="J75" s="7"/>
      <c r="K75" s="7"/>
      <c r="L75" s="8"/>
    </row>
  </sheetData>
  <mergeCells count="4">
    <mergeCell ref="B6:C6"/>
    <mergeCell ref="D6:E6"/>
    <mergeCell ref="F6:G6"/>
    <mergeCell ref="B7:C7"/>
  </mergeCells>
  <printOptions/>
  <pageMargins left="0.984251968503937" right="0.4724409448818898" top="0.4330708661417323" bottom="0.3937007874015748" header="0" footer="0"/>
  <pageSetup fitToHeight="1" fitToWidth="1" horizontalDpi="300" verticalDpi="300" orientation="portrait" paperSize="9" scale="70" r:id="rId2"/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GMK5220/5275 Cummins weight sheet 3 axle boom dolly (XLS)</dc:title>
  <dc:subject/>
  <dc:creator>Gateway 2000 Licensed User.</dc:creator>
  <cp:keywords/>
  <dc:description/>
  <cp:lastModifiedBy>Andreas Cremer</cp:lastModifiedBy>
  <cp:lastPrinted>2006-02-23T15:18:36Z</cp:lastPrinted>
  <dcterms:created xsi:type="dcterms:W3CDTF">1999-05-27T14:35:42Z</dcterms:created>
  <dcterms:modified xsi:type="dcterms:W3CDTF">2010-06-16T14:51:50Z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30.0000000000000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