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180" windowHeight="9216" activeTab="0"/>
  </bookViews>
  <sheets>
    <sheet name="AX5110-1_5135_2A" sheetId="1" r:id="rId1"/>
  </sheets>
  <definedNames>
    <definedName name="DMAFA">'AX5110-1_5135_2A'!$E$79</definedName>
    <definedName name="_xlnm.Print_Area" localSheetId="0">'AX5110-1_5135_2A'!$A$1:$P$81</definedName>
  </definedNames>
  <calcPr fullCalcOnLoad="1"/>
</workbook>
</file>

<file path=xl/sharedStrings.xml><?xml version="1.0" encoding="utf-8"?>
<sst xmlns="http://schemas.openxmlformats.org/spreadsheetml/2006/main" count="147" uniqueCount="110">
  <si>
    <t xml:space="preserve"> </t>
  </si>
  <si>
    <t>file:</t>
  </si>
  <si>
    <t>updated:</t>
  </si>
  <si>
    <t>date:</t>
  </si>
  <si>
    <t>dept:</t>
  </si>
  <si>
    <t>For information only!</t>
  </si>
  <si>
    <t>excluding all parts as shown below</t>
  </si>
  <si>
    <t>total</t>
  </si>
  <si>
    <t>2 front-</t>
  </si>
  <si>
    <t>3 rear-</t>
  </si>
  <si>
    <t>weight (kg)</t>
  </si>
  <si>
    <t>axles (kg)</t>
  </si>
  <si>
    <t xml:space="preserve">  Schwerp.</t>
  </si>
  <si>
    <t xml:space="preserve">  VA - DM</t>
  </si>
  <si>
    <t xml:space="preserve">  DM - HA</t>
  </si>
  <si>
    <t>weight for standard unit including dolly:</t>
  </si>
  <si>
    <t>plus:  (only the marked parts!)</t>
  </si>
  <si>
    <t>O/R pads on jack- cylinders</t>
  </si>
  <si>
    <t>O/R pads on dolly</t>
  </si>
  <si>
    <t>75- t- hook block on dolly</t>
  </si>
  <si>
    <t>10 * 8 * 10 drive/steer</t>
  </si>
  <si>
    <t>fixed counterweight in lieu of aux. hoist</t>
  </si>
  <si>
    <t>aux. hoist</t>
  </si>
  <si>
    <t>brackets for lattice swingaway 11 to 18 m</t>
  </si>
  <si>
    <t>hydraulic swingaway 11 m (36 ft)</t>
  </si>
  <si>
    <t>hydraulic swingaway 11 m to 18 m (59 ft)</t>
  </si>
  <si>
    <t>add. weight for tyres 16.00 R25 XGC steel rim</t>
  </si>
  <si>
    <t>add. weight for tyres 20.5 R 25 XGC steel rim</t>
  </si>
  <si>
    <t>spare wheel 14.00 R25 XGC on dolly</t>
  </si>
  <si>
    <t>spare wheel 16.00 R25 XGC on dolly</t>
  </si>
  <si>
    <t>spare wheel 20.5 R25 XGC on dolly</t>
  </si>
  <si>
    <t>.. t counterweight on superstructure or carrier</t>
  </si>
  <si>
    <t>remove outriggers in front</t>
  </si>
  <si>
    <t>remove outriggers at the rear</t>
  </si>
  <si>
    <t>.. m telescope 1 extended</t>
  </si>
  <si>
    <t>boost for lift cylinder ( t ):</t>
  </si>
  <si>
    <t>( axle loads depend on a boom angle of 0 deg.;</t>
  </si>
  <si>
    <t>special equipment is required)</t>
  </si>
  <si>
    <t>Total weight including marked parts ( kg ):</t>
  </si>
  <si>
    <t>Total weight including marked parts ( lbs ):</t>
  </si>
  <si>
    <t>distance between axles (m):</t>
  </si>
  <si>
    <t>2. axle:</t>
  </si>
  <si>
    <t>axle 1 - 2:</t>
  </si>
  <si>
    <t>3. axle:</t>
  </si>
  <si>
    <t>axle 2 - 3:</t>
  </si>
  <si>
    <t>4. axle:</t>
  </si>
  <si>
    <t>axle 3 - 4:</t>
  </si>
  <si>
    <t>5. axle:</t>
  </si>
  <si>
    <t>axle 4 - 5:</t>
  </si>
  <si>
    <t>6. axle:</t>
  </si>
  <si>
    <t>axle 5 - 6:</t>
  </si>
  <si>
    <t>7. axle:</t>
  </si>
  <si>
    <t>axle 6 - 7:</t>
  </si>
  <si>
    <t>allowed in:</t>
  </si>
  <si>
    <t>Axle loads for groups of axles ( t ):</t>
  </si>
  <si>
    <t>Australia</t>
  </si>
  <si>
    <t>Canada (BC)</t>
  </si>
  <si>
    <t xml:space="preserve">  1.-2. axle:</t>
  </si>
  <si>
    <t xml:space="preserve">  1.-3. axle:</t>
  </si>
  <si>
    <t xml:space="preserve">  1.-5. axle:</t>
  </si>
  <si>
    <t xml:space="preserve">  1.-7. axle:</t>
  </si>
  <si>
    <t xml:space="preserve">  2.-5. axle:</t>
  </si>
  <si>
    <t xml:space="preserve">  2.-7. axle:</t>
  </si>
  <si>
    <t xml:space="preserve">  4.-5. axle:</t>
  </si>
  <si>
    <t xml:space="preserve">  4.-7. axle:</t>
  </si>
  <si>
    <t xml:space="preserve">  6.-7. axle:</t>
  </si>
  <si>
    <t>Fahrgestell 10*6*10</t>
  </si>
  <si>
    <t xml:space="preserve">     G * Xs</t>
  </si>
  <si>
    <t xml:space="preserve">      G Afa</t>
  </si>
  <si>
    <t>Drehtisch mit Anteil W- Zyl.</t>
  </si>
  <si>
    <t xml:space="preserve">    G Dolly</t>
  </si>
  <si>
    <t>Ausleger mit Anteil W- Zyl.</t>
  </si>
  <si>
    <t>2- achs- Nachläufer</t>
  </si>
  <si>
    <t xml:space="preserve">        G</t>
  </si>
  <si>
    <t>Auflage ab Afa</t>
  </si>
  <si>
    <t xml:space="preserve">        m</t>
  </si>
  <si>
    <t>(9,0-11,0 m)</t>
  </si>
  <si>
    <t>Zugfz.   G</t>
  </si>
  <si>
    <t>Abstand Drehm. bis Afa</t>
  </si>
  <si>
    <t>Zugfz.  Xs</t>
  </si>
  <si>
    <t>Auslegerlänge</t>
  </si>
  <si>
    <t>Kranbreite</t>
  </si>
  <si>
    <r>
      <t xml:space="preserve">Axle Loads GMK 5110-1 / </t>
    </r>
    <r>
      <rPr>
        <b/>
        <sz val="8"/>
        <color indexed="10"/>
        <rFont val="Arial"/>
        <family val="2"/>
      </rPr>
      <t>5135</t>
    </r>
    <r>
      <rPr>
        <b/>
        <sz val="8"/>
        <rFont val="Arial"/>
        <family val="2"/>
      </rPr>
      <t xml:space="preserve"> (kg/</t>
    </r>
    <r>
      <rPr>
        <b/>
        <sz val="8"/>
        <color indexed="10"/>
        <rFont val="Arial"/>
        <family val="2"/>
      </rPr>
      <t>lbs</t>
    </r>
    <r>
      <rPr>
        <b/>
        <sz val="8"/>
        <rFont val="Arial"/>
        <family val="2"/>
      </rPr>
      <t>)</t>
    </r>
  </si>
  <si>
    <r>
      <t>Standard unit</t>
    </r>
    <r>
      <rPr>
        <sz val="8"/>
        <rFont val="Arial"/>
        <family val="2"/>
      </rPr>
      <t xml:space="preserve"> with tyres 14.00 R25 XGC on steel wheels; 10 * 6 * 10; with driver; tanks filled</t>
    </r>
  </si>
  <si>
    <t>Weight of boom dolly (t):</t>
  </si>
  <si>
    <t>Distance from boom pivot pin to centre of dolly (m):</t>
  </si>
  <si>
    <r>
      <t xml:space="preserve">Axle loads in ( t ): </t>
    </r>
    <r>
      <rPr>
        <b/>
        <i/>
        <sz val="8"/>
        <rFont val="Arial"/>
        <family val="2"/>
      </rPr>
      <t xml:space="preserve"> in (</t>
    </r>
    <r>
      <rPr>
        <b/>
        <i/>
        <sz val="8"/>
        <color indexed="10"/>
        <rFont val="Arial"/>
        <family val="2"/>
      </rPr>
      <t>lbs</t>
    </r>
    <r>
      <rPr>
        <b/>
        <i/>
        <sz val="8"/>
        <rFont val="Arial"/>
        <family val="2"/>
      </rPr>
      <t>):</t>
    </r>
    <r>
      <rPr>
        <b/>
        <sz val="8"/>
        <rFont val="Arial"/>
        <family val="2"/>
      </rPr>
      <t xml:space="preserve">            1. axle:</t>
    </r>
  </si>
  <si>
    <t>zeigt aber nach hinten</t>
  </si>
  <si>
    <t>hose reel for hydraulic swingaway</t>
  </si>
  <si>
    <t>swingaway 11 m to 18 m (59 ft)</t>
  </si>
  <si>
    <t>add. oil cooler superstructure</t>
  </si>
  <si>
    <t>nach vorne gedreht</t>
  </si>
  <si>
    <t>remove rope from main hoist</t>
  </si>
  <si>
    <t>ENG-SE-ME</t>
  </si>
  <si>
    <t>Standard</t>
  </si>
  <si>
    <t>AX5110-1_5135_Boom-Dolly_A</t>
  </si>
  <si>
    <t>weight</t>
  </si>
  <si>
    <t>axles</t>
  </si>
  <si>
    <t>(lbs)</t>
  </si>
  <si>
    <t>8. axle:</t>
  </si>
  <si>
    <t>axle 7 - 8:</t>
  </si>
  <si>
    <t>Nelson CBC-30ST</t>
  </si>
  <si>
    <t>add. weight for tyres 16.00 R25 REM8 alum. Rim</t>
  </si>
  <si>
    <t>add. weight for tyres 20.50 R25 REM8 alum. Rim</t>
  </si>
  <si>
    <t>.. t extending force (max. 12 t)</t>
  </si>
  <si>
    <t>.. t retracting force (max. 12 t)</t>
  </si>
  <si>
    <t>less weight for tyres 14.00 R25 REM8 alum. Rim</t>
  </si>
  <si>
    <t>with 3- Axle boom dolly</t>
  </si>
  <si>
    <t>3 dolly-</t>
  </si>
  <si>
    <t>Distance to center between lugs on base section 32.95 ft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</si>
</sst>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mm/dd/yyyy"/>
    <numFmt numFmtId="174" formatCode="0.0"/>
    <numFmt numFmtId="175" formatCode="[$-407]dddd\,\ d\.\ mmmm\ yyyy"/>
    <numFmt numFmtId="176" formatCode="[$-407]d/\ mmm/\ yy;@"/>
    <numFmt numFmtId="177" formatCode="#,##0.0"/>
  </numFmts>
  <fonts count="1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2" borderId="0" xfId="0" applyNumberFormat="1" applyFont="1" applyFill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 horizontal="right"/>
      <protection/>
    </xf>
    <xf numFmtId="0" fontId="1" fillId="2" borderId="2" xfId="0" applyNumberFormat="1" applyFont="1" applyFill="1" applyBorder="1" applyAlignment="1" applyProtection="1">
      <alignment horizontal="left"/>
      <protection/>
    </xf>
    <xf numFmtId="0" fontId="1" fillId="2" borderId="3" xfId="0" applyNumberFormat="1" applyFont="1" applyFill="1" applyBorder="1" applyAlignment="1" applyProtection="1">
      <alignment horizontal="right"/>
      <protection/>
    </xf>
    <xf numFmtId="0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>
      <alignment/>
    </xf>
    <xf numFmtId="0" fontId="1" fillId="2" borderId="4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1" fillId="2" borderId="0" xfId="0" applyNumberFormat="1" applyFont="1" applyFill="1" applyAlignment="1" applyProtection="1">
      <alignment horizontal="right"/>
      <protection/>
    </xf>
    <xf numFmtId="173" fontId="1" fillId="2" borderId="5" xfId="0" applyNumberFormat="1" applyFont="1" applyFill="1" applyBorder="1" applyAlignment="1" applyProtection="1">
      <alignment/>
      <protection/>
    </xf>
    <xf numFmtId="14" fontId="1" fillId="2" borderId="0" xfId="0" applyNumberFormat="1" applyFont="1" applyFill="1" applyAlignment="1" applyProtection="1">
      <alignment horizontal="right"/>
      <protection/>
    </xf>
    <xf numFmtId="14" fontId="1" fillId="2" borderId="5" xfId="0" applyNumberFormat="1" applyFont="1" applyFill="1" applyBorder="1" applyAlignment="1" applyProtection="1">
      <alignment horizontal="right"/>
      <protection/>
    </xf>
    <xf numFmtId="0" fontId="1" fillId="2" borderId="6" xfId="0" applyNumberFormat="1" applyFont="1" applyFill="1" applyBorder="1" applyAlignment="1" applyProtection="1">
      <alignment/>
      <protection/>
    </xf>
    <xf numFmtId="0" fontId="1" fillId="2" borderId="7" xfId="0" applyNumberFormat="1" applyFont="1" applyFill="1" applyBorder="1" applyAlignment="1" applyProtection="1">
      <alignment/>
      <protection/>
    </xf>
    <xf numFmtId="0" fontId="1" fillId="2" borderId="7" xfId="0" applyNumberFormat="1" applyFont="1" applyFill="1" applyBorder="1" applyAlignment="1" applyProtection="1">
      <alignment horizontal="right"/>
      <protection/>
    </xf>
    <xf numFmtId="0" fontId="1" fillId="2" borderId="7" xfId="0" applyNumberFormat="1" applyFont="1" applyFill="1" applyBorder="1" applyAlignment="1" applyProtection="1">
      <alignment horizontal="left"/>
      <protection/>
    </xf>
    <xf numFmtId="0" fontId="1" fillId="2" borderId="8" xfId="0" applyNumberFormat="1" applyFont="1" applyFill="1" applyBorder="1" applyAlignment="1" applyProtection="1">
      <alignment horizontal="right"/>
      <protection/>
    </xf>
    <xf numFmtId="0" fontId="1" fillId="2" borderId="1" xfId="0" applyNumberFormat="1" applyFont="1" applyFill="1" applyBorder="1" applyAlignment="1" applyProtection="1">
      <alignment/>
      <protection/>
    </xf>
    <xf numFmtId="0" fontId="1" fillId="2" borderId="3" xfId="0" applyNumberFormat="1" applyFont="1" applyFill="1" applyBorder="1" applyAlignment="1" applyProtection="1">
      <alignment/>
      <protection/>
    </xf>
    <xf numFmtId="0" fontId="3" fillId="2" borderId="9" xfId="0" applyNumberFormat="1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Alignment="1" applyProtection="1">
      <alignment/>
      <protection/>
    </xf>
    <xf numFmtId="0" fontId="3" fillId="2" borderId="10" xfId="0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1" fillId="2" borderId="5" xfId="0" applyNumberFormat="1" applyFont="1" applyFill="1" applyBorder="1" applyAlignment="1" applyProtection="1">
      <alignment vertical="center"/>
      <protection/>
    </xf>
    <xf numFmtId="0" fontId="6" fillId="2" borderId="0" xfId="0" applyNumberFormat="1" applyFont="1" applyFill="1" applyAlignment="1" applyProtection="1">
      <alignment/>
      <protection/>
    </xf>
    <xf numFmtId="0" fontId="3" fillId="2" borderId="0" xfId="0" applyFont="1" applyFill="1" applyBorder="1" applyAlignment="1" applyProtection="1" quotePrefix="1">
      <alignment horizontal="left"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right"/>
      <protection/>
    </xf>
    <xf numFmtId="172" fontId="3" fillId="2" borderId="0" xfId="0" applyNumberFormat="1" applyFont="1" applyFill="1" applyBorder="1" applyAlignment="1" applyProtection="1">
      <alignment/>
      <protection/>
    </xf>
    <xf numFmtId="1" fontId="4" fillId="2" borderId="5" xfId="0" applyNumberFormat="1" applyFont="1" applyFill="1" applyBorder="1" applyAlignment="1" applyProtection="1">
      <alignment horizontal="center"/>
      <protection/>
    </xf>
    <xf numFmtId="0" fontId="1" fillId="2" borderId="0" xfId="0" applyNumberFormat="1" applyFont="1" applyFill="1" applyBorder="1" applyAlignment="1" applyProtection="1" quotePrefix="1">
      <alignment horizontal="left"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3" fillId="2" borderId="0" xfId="0" applyFont="1" applyFill="1" applyBorder="1" applyAlignment="1" applyProtection="1">
      <alignment/>
      <protection/>
    </xf>
    <xf numFmtId="0" fontId="1" fillId="2" borderId="11" xfId="0" applyNumberFormat="1" applyFont="1" applyFill="1" applyBorder="1" applyAlignment="1" applyProtection="1">
      <alignment horizontal="center"/>
      <protection/>
    </xf>
    <xf numFmtId="0" fontId="1" fillId="2" borderId="0" xfId="0" applyNumberFormat="1" applyFont="1" applyFill="1" applyBorder="1" applyAlignment="1" applyProtection="1">
      <alignment horizontal="center"/>
      <protection/>
    </xf>
    <xf numFmtId="0" fontId="1" fillId="2" borderId="5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 quotePrefix="1">
      <alignment horizontal="left"/>
      <protection/>
    </xf>
    <xf numFmtId="1" fontId="3" fillId="2" borderId="11" xfId="0" applyNumberFormat="1" applyFont="1" applyFill="1" applyBorder="1" applyAlignment="1" applyProtection="1">
      <alignment horizontal="center"/>
      <protection/>
    </xf>
    <xf numFmtId="1" fontId="3" fillId="2" borderId="0" xfId="0" applyNumberFormat="1" applyFont="1" applyFill="1" applyBorder="1" applyAlignment="1" applyProtection="1">
      <alignment horizontal="center"/>
      <protection/>
    </xf>
    <xf numFmtId="1" fontId="3" fillId="2" borderId="5" xfId="0" applyNumberFormat="1" applyFont="1" applyFill="1" applyBorder="1" applyAlignment="1" applyProtection="1">
      <alignment horizontal="center"/>
      <protection/>
    </xf>
    <xf numFmtId="0" fontId="3" fillId="2" borderId="7" xfId="0" applyNumberFormat="1" applyFont="1" applyFill="1" applyBorder="1" applyAlignment="1" applyProtection="1" quotePrefix="1">
      <alignment horizontal="left"/>
      <protection/>
    </xf>
    <xf numFmtId="0" fontId="1" fillId="2" borderId="12" xfId="0" applyNumberFormat="1" applyFont="1" applyFill="1" applyBorder="1" applyAlignment="1" applyProtection="1">
      <alignment/>
      <protection/>
    </xf>
    <xf numFmtId="0" fontId="1" fillId="2" borderId="8" xfId="0" applyNumberFormat="1" applyFont="1" applyFill="1" applyBorder="1" applyAlignment="1" applyProtection="1">
      <alignment/>
      <protection/>
    </xf>
    <xf numFmtId="0" fontId="1" fillId="2" borderId="13" xfId="0" applyNumberFormat="1" applyFont="1" applyFill="1" applyBorder="1" applyAlignment="1" applyProtection="1">
      <alignment/>
      <protection/>
    </xf>
    <xf numFmtId="0" fontId="1" fillId="2" borderId="11" xfId="0" applyNumberFormat="1" applyFont="1" applyFill="1" applyBorder="1" applyAlignment="1" applyProtection="1">
      <alignment/>
      <protection/>
    </xf>
    <xf numFmtId="0" fontId="1" fillId="3" borderId="14" xfId="0" applyNumberFormat="1" applyFont="1" applyFill="1" applyBorder="1" applyAlignment="1" applyProtection="1">
      <alignment/>
      <protection locked="0"/>
    </xf>
    <xf numFmtId="0" fontId="1" fillId="2" borderId="15" xfId="0" applyNumberFormat="1" applyFont="1" applyFill="1" applyBorder="1" applyAlignment="1" applyProtection="1">
      <alignment/>
      <protection/>
    </xf>
    <xf numFmtId="1" fontId="1" fillId="2" borderId="16" xfId="0" applyNumberFormat="1" applyFont="1" applyFill="1" applyBorder="1" applyAlignment="1" applyProtection="1">
      <alignment/>
      <protection/>
    </xf>
    <xf numFmtId="1" fontId="1" fillId="2" borderId="15" xfId="0" applyNumberFormat="1" applyFont="1" applyFill="1" applyBorder="1" applyAlignment="1" applyProtection="1">
      <alignment/>
      <protection/>
    </xf>
    <xf numFmtId="1" fontId="1" fillId="2" borderId="17" xfId="0" applyNumberFormat="1" applyFont="1" applyFill="1" applyBorder="1" applyAlignment="1" applyProtection="1">
      <alignment horizontal="right"/>
      <protection/>
    </xf>
    <xf numFmtId="1" fontId="4" fillId="2" borderId="18" xfId="0" applyNumberFormat="1" applyFont="1" applyFill="1" applyBorder="1" applyAlignment="1" applyProtection="1">
      <alignment/>
      <protection/>
    </xf>
    <xf numFmtId="1" fontId="4" fillId="2" borderId="19" xfId="0" applyNumberFormat="1" applyFont="1" applyFill="1" applyBorder="1" applyAlignment="1" applyProtection="1">
      <alignment/>
      <protection/>
    </xf>
    <xf numFmtId="1" fontId="4" fillId="2" borderId="20" xfId="0" applyNumberFormat="1" applyFont="1" applyFill="1" applyBorder="1" applyAlignment="1" applyProtection="1">
      <alignment/>
      <protection/>
    </xf>
    <xf numFmtId="1" fontId="1" fillId="2" borderId="15" xfId="0" applyNumberFormat="1" applyFont="1" applyFill="1" applyBorder="1" applyAlignment="1" applyProtection="1">
      <alignment horizontal="right"/>
      <protection/>
    </xf>
    <xf numFmtId="1" fontId="1" fillId="2" borderId="16" xfId="0" applyNumberFormat="1" applyFont="1" applyFill="1" applyBorder="1" applyAlignment="1" applyProtection="1">
      <alignment horizontal="right"/>
      <protection/>
    </xf>
    <xf numFmtId="1" fontId="1" fillId="2" borderId="17" xfId="0" applyNumberFormat="1" applyFont="1" applyFill="1" applyBorder="1" applyAlignment="1" applyProtection="1">
      <alignment/>
      <protection/>
    </xf>
    <xf numFmtId="0" fontId="1" fillId="2" borderId="15" xfId="0" applyNumberFormat="1" applyFont="1" applyFill="1" applyBorder="1" applyAlignment="1" applyProtection="1" quotePrefix="1">
      <alignment horizontal="left"/>
      <protection/>
    </xf>
    <xf numFmtId="0" fontId="1" fillId="2" borderId="15" xfId="0" applyNumberFormat="1" applyFont="1" applyFill="1" applyBorder="1" applyAlignment="1" applyProtection="1">
      <alignment horizontal="left"/>
      <protection/>
    </xf>
    <xf numFmtId="0" fontId="1" fillId="2" borderId="16" xfId="0" applyNumberFormat="1" applyFont="1" applyFill="1" applyBorder="1" applyAlignment="1" applyProtection="1">
      <alignment/>
      <protection/>
    </xf>
    <xf numFmtId="0" fontId="1" fillId="2" borderId="17" xfId="0" applyNumberFormat="1" applyFont="1" applyFill="1" applyBorder="1" applyAlignment="1" applyProtection="1">
      <alignment horizontal="right"/>
      <protection/>
    </xf>
    <xf numFmtId="0" fontId="3" fillId="2" borderId="15" xfId="0" applyNumberFormat="1" applyFont="1" applyFill="1" applyBorder="1" applyAlignment="1" applyProtection="1">
      <alignment/>
      <protection/>
    </xf>
    <xf numFmtId="0" fontId="1" fillId="2" borderId="21" xfId="0" applyNumberFormat="1" applyFont="1" applyFill="1" applyBorder="1" applyAlignment="1" applyProtection="1">
      <alignment/>
      <protection/>
    </xf>
    <xf numFmtId="1" fontId="1" fillId="2" borderId="22" xfId="0" applyNumberFormat="1" applyFont="1" applyFill="1" applyBorder="1" applyAlignment="1" applyProtection="1">
      <alignment/>
      <protection/>
    </xf>
    <xf numFmtId="1" fontId="1" fillId="2" borderId="21" xfId="0" applyNumberFormat="1" applyFont="1" applyFill="1" applyBorder="1" applyAlignment="1" applyProtection="1">
      <alignment/>
      <protection/>
    </xf>
    <xf numFmtId="1" fontId="1" fillId="2" borderId="23" xfId="0" applyNumberFormat="1" applyFont="1" applyFill="1" applyBorder="1" applyAlignment="1" applyProtection="1">
      <alignment/>
      <protection/>
    </xf>
    <xf numFmtId="0" fontId="1" fillId="2" borderId="24" xfId="0" applyNumberFormat="1" applyFont="1" applyFill="1" applyBorder="1" applyAlignment="1" applyProtection="1">
      <alignment/>
      <protection/>
    </xf>
    <xf numFmtId="1" fontId="3" fillId="2" borderId="11" xfId="0" applyNumberFormat="1" applyFont="1" applyFill="1" applyBorder="1" applyAlignment="1" applyProtection="1">
      <alignment/>
      <protection/>
    </xf>
    <xf numFmtId="1" fontId="3" fillId="2" borderId="25" xfId="0" applyNumberFormat="1" applyFont="1" applyFill="1" applyBorder="1" applyAlignment="1" applyProtection="1">
      <alignment/>
      <protection/>
    </xf>
    <xf numFmtId="0" fontId="4" fillId="2" borderId="7" xfId="0" applyNumberFormat="1" applyFont="1" applyFill="1" applyBorder="1" applyAlignment="1" applyProtection="1" quotePrefix="1">
      <alignment horizontal="left"/>
      <protection/>
    </xf>
    <xf numFmtId="0" fontId="3" fillId="2" borderId="2" xfId="0" applyNumberFormat="1" applyFont="1" applyFill="1" applyBorder="1" applyAlignment="1" applyProtection="1">
      <alignment horizontal="right"/>
      <protection/>
    </xf>
    <xf numFmtId="2" fontId="3" fillId="2" borderId="24" xfId="0" applyNumberFormat="1" applyFont="1" applyFill="1" applyBorder="1" applyAlignment="1" applyProtection="1">
      <alignment horizontal="right"/>
      <protection/>
    </xf>
    <xf numFmtId="0" fontId="1" fillId="2" borderId="26" xfId="0" applyNumberFormat="1" applyFont="1" applyFill="1" applyBorder="1" applyAlignment="1" applyProtection="1" quotePrefix="1">
      <alignment horizontal="left"/>
      <protection/>
    </xf>
    <xf numFmtId="0" fontId="3" fillId="2" borderId="0" xfId="0" applyNumberFormat="1" applyFont="1" applyFill="1" applyAlignment="1" applyProtection="1">
      <alignment horizontal="right"/>
      <protection/>
    </xf>
    <xf numFmtId="2" fontId="3" fillId="2" borderId="11" xfId="0" applyNumberFormat="1" applyFont="1" applyFill="1" applyBorder="1" applyAlignment="1" applyProtection="1">
      <alignment horizontal="right"/>
      <protection/>
    </xf>
    <xf numFmtId="2" fontId="1" fillId="2" borderId="27" xfId="0" applyNumberFormat="1" applyFont="1" applyFill="1" applyBorder="1" applyAlignment="1" applyProtection="1" quotePrefix="1">
      <alignment horizontal="right"/>
      <protection/>
    </xf>
    <xf numFmtId="2" fontId="1" fillId="2" borderId="25" xfId="0" applyNumberFormat="1" applyFont="1" applyFill="1" applyBorder="1" applyAlignment="1" applyProtection="1">
      <alignment horizontal="right"/>
      <protection/>
    </xf>
    <xf numFmtId="2" fontId="7" fillId="3" borderId="25" xfId="0" applyNumberFormat="1" applyFont="1" applyFill="1" applyBorder="1" applyAlignment="1" applyProtection="1">
      <alignment horizontal="right"/>
      <protection locked="0"/>
    </xf>
    <xf numFmtId="0" fontId="3" fillId="2" borderId="7" xfId="0" applyNumberFormat="1" applyFont="1" applyFill="1" applyBorder="1" applyAlignment="1" applyProtection="1">
      <alignment horizontal="right"/>
      <protection/>
    </xf>
    <xf numFmtId="0" fontId="1" fillId="2" borderId="0" xfId="0" applyNumberFormat="1" applyFont="1" applyFill="1" applyAlignment="1" applyProtection="1" quotePrefix="1">
      <alignment horizontal="right"/>
      <protection/>
    </xf>
    <xf numFmtId="2" fontId="1" fillId="2" borderId="0" xfId="0" applyNumberFormat="1" applyFont="1" applyFill="1" applyAlignment="1" applyProtection="1">
      <alignment/>
      <protection/>
    </xf>
    <xf numFmtId="2" fontId="1" fillId="2" borderId="2" xfId="0" applyNumberFormat="1" applyFont="1" applyFill="1" applyBorder="1" applyAlignment="1" applyProtection="1">
      <alignment/>
      <protection/>
    </xf>
    <xf numFmtId="172" fontId="1" fillId="2" borderId="2" xfId="0" applyNumberFormat="1" applyFont="1" applyFill="1" applyBorder="1" applyAlignment="1" applyProtection="1">
      <alignment/>
      <protection/>
    </xf>
    <xf numFmtId="172" fontId="1" fillId="2" borderId="3" xfId="0" applyNumberFormat="1" applyFont="1" applyFill="1" applyBorder="1" applyAlignment="1" applyProtection="1">
      <alignment/>
      <protection/>
    </xf>
    <xf numFmtId="172" fontId="1" fillId="2" borderId="0" xfId="0" applyNumberFormat="1" applyFont="1" applyFill="1" applyAlignment="1" applyProtection="1">
      <alignment/>
      <protection/>
    </xf>
    <xf numFmtId="172" fontId="1" fillId="2" borderId="5" xfId="0" applyNumberFormat="1" applyFont="1" applyFill="1" applyBorder="1" applyAlignment="1" applyProtection="1">
      <alignment/>
      <protection/>
    </xf>
    <xf numFmtId="2" fontId="7" fillId="3" borderId="0" xfId="0" applyNumberFormat="1" applyFont="1" applyFill="1" applyAlignment="1" applyProtection="1">
      <alignment/>
      <protection locked="0"/>
    </xf>
    <xf numFmtId="172" fontId="7" fillId="3" borderId="0" xfId="0" applyNumberFormat="1" applyFont="1" applyFill="1" applyAlignment="1" applyProtection="1">
      <alignment/>
      <protection locked="0"/>
    </xf>
    <xf numFmtId="172" fontId="1" fillId="2" borderId="0" xfId="0" applyNumberFormat="1" applyFont="1" applyFill="1" applyAlignment="1" applyProtection="1" quotePrefix="1">
      <alignment horizontal="left"/>
      <protection/>
    </xf>
    <xf numFmtId="2" fontId="7" fillId="3" borderId="7" xfId="0" applyNumberFormat="1" applyFont="1" applyFill="1" applyBorder="1" applyAlignment="1" applyProtection="1">
      <alignment/>
      <protection locked="0"/>
    </xf>
    <xf numFmtId="172" fontId="1" fillId="2" borderId="7" xfId="0" applyNumberFormat="1" applyFont="1" applyFill="1" applyBorder="1" applyAlignment="1" applyProtection="1">
      <alignment/>
      <protection/>
    </xf>
    <xf numFmtId="172" fontId="1" fillId="4" borderId="0" xfId="0" applyNumberFormat="1" applyFont="1" applyFill="1" applyAlignment="1" applyProtection="1">
      <alignment/>
      <protection/>
    </xf>
    <xf numFmtId="172" fontId="1" fillId="2" borderId="0" xfId="0" applyNumberFormat="1" applyFont="1" applyFill="1" applyBorder="1" applyAlignment="1" applyProtection="1">
      <alignment/>
      <protection/>
    </xf>
    <xf numFmtId="176" fontId="1" fillId="2" borderId="0" xfId="0" applyNumberFormat="1" applyFont="1" applyFill="1" applyBorder="1" applyAlignment="1" applyProtection="1">
      <alignment horizontal="left"/>
      <protection/>
    </xf>
    <xf numFmtId="172" fontId="0" fillId="2" borderId="0" xfId="0" applyNumberFormat="1" applyFont="1" applyFill="1" applyAlignment="1" applyProtection="1">
      <alignment/>
      <protection/>
    </xf>
    <xf numFmtId="172" fontId="1" fillId="0" borderId="0" xfId="0" applyNumberFormat="1" applyFont="1" applyFill="1" applyAlignment="1" applyProtection="1">
      <alignment/>
      <protection/>
    </xf>
    <xf numFmtId="0" fontId="1" fillId="2" borderId="28" xfId="0" applyNumberFormat="1" applyFont="1" applyFill="1" applyBorder="1" applyAlignment="1" applyProtection="1">
      <alignment horizontal="center"/>
      <protection/>
    </xf>
    <xf numFmtId="0" fontId="1" fillId="2" borderId="24" xfId="0" applyNumberFormat="1" applyFont="1" applyFill="1" applyBorder="1" applyAlignment="1" applyProtection="1">
      <alignment horizontal="center"/>
      <protection/>
    </xf>
    <xf numFmtId="0" fontId="1" fillId="2" borderId="29" xfId="0" applyNumberFormat="1" applyFont="1" applyFill="1" applyBorder="1" applyAlignment="1" applyProtection="1">
      <alignment horizontal="center"/>
      <protection/>
    </xf>
    <xf numFmtId="0" fontId="1" fillId="2" borderId="13" xfId="0" applyNumberFormat="1" applyFont="1" applyFill="1" applyBorder="1" applyAlignment="1" applyProtection="1">
      <alignment horizontal="center"/>
      <protection/>
    </xf>
    <xf numFmtId="0" fontId="1" fillId="2" borderId="25" xfId="0" applyNumberFormat="1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 applyProtection="1">
      <alignment/>
      <protection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3" fontId="4" fillId="2" borderId="11" xfId="0" applyNumberFormat="1" applyFont="1" applyFill="1" applyBorder="1" applyAlignment="1" applyProtection="1">
      <alignment horizontal="center"/>
      <protection/>
    </xf>
    <xf numFmtId="3" fontId="4" fillId="2" borderId="25" xfId="0" applyNumberFormat="1" applyFont="1" applyFill="1" applyBorder="1" applyAlignment="1" applyProtection="1">
      <alignment horizontal="center"/>
      <protection/>
    </xf>
    <xf numFmtId="3" fontId="4" fillId="2" borderId="30" xfId="0" applyNumberFormat="1" applyFont="1" applyFill="1" applyBorder="1" applyAlignment="1" applyProtection="1">
      <alignment/>
      <protection/>
    </xf>
    <xf numFmtId="3" fontId="4" fillId="2" borderId="31" xfId="0" applyNumberFormat="1" applyFont="1" applyFill="1" applyBorder="1" applyAlignment="1" applyProtection="1">
      <alignment/>
      <protection/>
    </xf>
    <xf numFmtId="3" fontId="4" fillId="2" borderId="32" xfId="0" applyNumberFormat="1" applyFont="1" applyFill="1" applyBorder="1" applyAlignment="1" applyProtection="1">
      <alignment/>
      <protection/>
    </xf>
    <xf numFmtId="3" fontId="4" fillId="2" borderId="33" xfId="0" applyNumberFormat="1" applyFont="1" applyFill="1" applyBorder="1" applyAlignment="1" applyProtection="1">
      <alignment/>
      <protection/>
    </xf>
    <xf numFmtId="3" fontId="4" fillId="2" borderId="34" xfId="0" applyNumberFormat="1" applyFont="1" applyFill="1" applyBorder="1" applyAlignment="1" applyProtection="1">
      <alignment/>
      <protection/>
    </xf>
    <xf numFmtId="3" fontId="4" fillId="2" borderId="35" xfId="0" applyNumberFormat="1" applyFont="1" applyFill="1" applyBorder="1" applyAlignment="1" applyProtection="1">
      <alignment/>
      <protection/>
    </xf>
    <xf numFmtId="3" fontId="4" fillId="2" borderId="36" xfId="0" applyNumberFormat="1" applyFont="1" applyFill="1" applyBorder="1" applyAlignment="1" applyProtection="1">
      <alignment/>
      <protection/>
    </xf>
    <xf numFmtId="3" fontId="4" fillId="2" borderId="37" xfId="0" applyNumberFormat="1" applyFont="1" applyFill="1" applyBorder="1" applyAlignment="1" applyProtection="1">
      <alignment/>
      <protection/>
    </xf>
    <xf numFmtId="3" fontId="4" fillId="2" borderId="38" xfId="0" applyNumberFormat="1" applyFont="1" applyFill="1" applyBorder="1" applyAlignment="1" applyProtection="1">
      <alignment/>
      <protection/>
    </xf>
    <xf numFmtId="3" fontId="4" fillId="2" borderId="12" xfId="0" applyNumberFormat="1" applyFont="1" applyFill="1" applyBorder="1" applyAlignment="1" applyProtection="1">
      <alignment/>
      <protection/>
    </xf>
    <xf numFmtId="3" fontId="4" fillId="2" borderId="39" xfId="0" applyNumberFormat="1" applyFont="1" applyFill="1" applyBorder="1" applyAlignment="1" applyProtection="1">
      <alignment/>
      <protection/>
    </xf>
    <xf numFmtId="3" fontId="4" fillId="2" borderId="2" xfId="0" applyNumberFormat="1" applyFont="1" applyFill="1" applyBorder="1" applyAlignment="1" applyProtection="1">
      <alignment/>
      <protection/>
    </xf>
    <xf numFmtId="3" fontId="4" fillId="2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 locked="0"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40" xfId="0" applyNumberFormat="1" applyFont="1" applyFill="1" applyBorder="1" applyAlignment="1" applyProtection="1">
      <alignment/>
      <protection/>
    </xf>
    <xf numFmtId="2" fontId="3" fillId="2" borderId="12" xfId="0" applyNumberFormat="1" applyFont="1" applyFill="1" applyBorder="1" applyAlignment="1" applyProtection="1">
      <alignment/>
      <protection/>
    </xf>
    <xf numFmtId="2" fontId="1" fillId="2" borderId="12" xfId="0" applyNumberFormat="1" applyFont="1" applyFill="1" applyBorder="1" applyAlignment="1" applyProtection="1" quotePrefix="1">
      <alignment horizontal="right"/>
      <protection/>
    </xf>
    <xf numFmtId="2" fontId="7" fillId="3" borderId="39" xfId="0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Alignment="1">
      <alignment/>
    </xf>
    <xf numFmtId="0" fontId="4" fillId="2" borderId="41" xfId="0" applyFont="1" applyFill="1" applyBorder="1" applyAlignment="1" applyProtection="1">
      <alignment horizontal="center" vertical="center"/>
      <protection/>
    </xf>
    <xf numFmtId="0" fontId="4" fillId="2" borderId="42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1628775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"/>
          <a:ext cx="1933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9" customWidth="1"/>
    <col min="2" max="2" width="4.7109375" style="9" customWidth="1"/>
    <col min="3" max="3" width="31.7109375" style="9" customWidth="1"/>
    <col min="4" max="6" width="9.140625" style="9" customWidth="1"/>
    <col min="7" max="7" width="9.421875" style="9" customWidth="1"/>
    <col min="8" max="8" width="7.7109375" style="9" hidden="1" customWidth="1"/>
    <col min="9" max="9" width="15.140625" style="9" hidden="1" customWidth="1"/>
    <col min="10" max="10" width="7.57421875" style="9" hidden="1" customWidth="1"/>
    <col min="11" max="11" width="7.7109375" style="9" hidden="1" customWidth="1"/>
    <col min="12" max="12" width="5.7109375" style="9" customWidth="1"/>
    <col min="13" max="16" width="7.7109375" style="9" customWidth="1"/>
    <col min="17" max="16384" width="11.57421875" style="9" customWidth="1"/>
  </cols>
  <sheetData>
    <row r="1" spans="1:13" ht="12.75">
      <c r="A1" s="1"/>
      <c r="B1" s="2"/>
      <c r="C1" s="3" t="s">
        <v>0</v>
      </c>
      <c r="D1" s="3" t="s">
        <v>0</v>
      </c>
      <c r="E1" s="4" t="s">
        <v>1</v>
      </c>
      <c r="F1" s="5" t="s">
        <v>95</v>
      </c>
      <c r="G1" s="6"/>
      <c r="H1" s="1"/>
      <c r="I1" s="1"/>
      <c r="J1" s="7"/>
      <c r="K1" s="7"/>
      <c r="L1" s="7"/>
      <c r="M1" s="8"/>
    </row>
    <row r="2" spans="1:13" ht="12.75">
      <c r="A2" s="1"/>
      <c r="B2" s="10"/>
      <c r="C2" s="11" t="s">
        <v>0</v>
      </c>
      <c r="D2" s="1"/>
      <c r="E2" s="12" t="s">
        <v>2</v>
      </c>
      <c r="F2" s="100">
        <v>39821</v>
      </c>
      <c r="G2" s="13"/>
      <c r="H2" s="1"/>
      <c r="I2" s="1"/>
      <c r="J2" s="7"/>
      <c r="K2" s="7"/>
      <c r="L2" s="7"/>
      <c r="M2" s="8"/>
    </row>
    <row r="3" spans="1:13" ht="12.75">
      <c r="A3" s="1"/>
      <c r="B3" s="10"/>
      <c r="C3" s="1" t="s">
        <v>0</v>
      </c>
      <c r="D3" s="1"/>
      <c r="E3" s="14" t="s">
        <v>3</v>
      </c>
      <c r="F3" s="100">
        <f ca="1">NOW()</f>
        <v>39877.69960983796</v>
      </c>
      <c r="G3" s="15"/>
      <c r="H3" s="1"/>
      <c r="I3" s="1"/>
      <c r="J3" s="7"/>
      <c r="K3" s="7"/>
      <c r="L3" s="7"/>
      <c r="M3" s="8"/>
    </row>
    <row r="4" spans="1:13" ht="13.5" thickBot="1">
      <c r="A4" s="1"/>
      <c r="B4" s="16"/>
      <c r="C4" s="17" t="s">
        <v>0</v>
      </c>
      <c r="D4" s="17" t="s">
        <v>0</v>
      </c>
      <c r="E4" s="18" t="s">
        <v>4</v>
      </c>
      <c r="F4" s="19" t="s">
        <v>93</v>
      </c>
      <c r="G4" s="20"/>
      <c r="H4" s="1"/>
      <c r="I4" s="1"/>
      <c r="J4" s="7"/>
      <c r="K4" s="7"/>
      <c r="L4" s="7"/>
      <c r="M4" s="8"/>
    </row>
    <row r="5" spans="1:13" ht="9.75" customHeight="1" thickBot="1">
      <c r="A5" s="1"/>
      <c r="B5" s="21"/>
      <c r="C5" s="3" t="s">
        <v>0</v>
      </c>
      <c r="D5" s="3"/>
      <c r="E5" s="3"/>
      <c r="F5" s="3"/>
      <c r="G5" s="22"/>
      <c r="H5" s="1"/>
      <c r="I5" s="1"/>
      <c r="J5" s="7"/>
      <c r="K5" s="7"/>
      <c r="L5" s="7"/>
      <c r="M5" s="8"/>
    </row>
    <row r="6" spans="1:13" ht="13.5" customHeight="1" thickBot="1">
      <c r="A6" s="1"/>
      <c r="B6" s="10"/>
      <c r="C6" s="23" t="s">
        <v>82</v>
      </c>
      <c r="D6" s="136" t="s">
        <v>94</v>
      </c>
      <c r="E6" s="137"/>
      <c r="F6" s="136" t="s">
        <v>5</v>
      </c>
      <c r="G6" s="137"/>
      <c r="H6" s="1"/>
      <c r="I6" s="1"/>
      <c r="J6" s="24"/>
      <c r="K6" s="24"/>
      <c r="L6" s="24"/>
      <c r="M6" s="8"/>
    </row>
    <row r="7" spans="1:13" ht="9.75" customHeight="1" thickBot="1">
      <c r="A7" s="1"/>
      <c r="B7" s="10"/>
      <c r="C7" s="25" t="s">
        <v>107</v>
      </c>
      <c r="D7" s="26"/>
      <c r="E7" s="26"/>
      <c r="F7" s="27"/>
      <c r="G7" s="28"/>
      <c r="H7" s="1"/>
      <c r="I7" s="1"/>
      <c r="J7" s="29"/>
      <c r="K7" s="29"/>
      <c r="L7" s="29"/>
      <c r="M7" s="8"/>
    </row>
    <row r="8" spans="1:13" ht="12.75">
      <c r="A8" s="1"/>
      <c r="B8" s="10"/>
      <c r="C8" s="30" t="s">
        <v>83</v>
      </c>
      <c r="D8" s="31"/>
      <c r="E8" s="31"/>
      <c r="F8" s="32"/>
      <c r="G8" s="33"/>
      <c r="H8" s="1"/>
      <c r="I8" s="1"/>
      <c r="J8" s="29"/>
      <c r="K8" s="29"/>
      <c r="L8" s="29"/>
      <c r="M8" s="8"/>
    </row>
    <row r="9" spans="1:13" ht="12.75">
      <c r="A9" s="1"/>
      <c r="B9" s="10"/>
      <c r="C9" s="34"/>
      <c r="D9" s="31"/>
      <c r="E9" s="35" t="s">
        <v>84</v>
      </c>
      <c r="F9" s="36">
        <f>E77</f>
        <v>4.128</v>
      </c>
      <c r="G9" s="37">
        <f>F9*2.2046244201838*1000</f>
        <v>9100.689606518728</v>
      </c>
      <c r="H9" s="1"/>
      <c r="I9" s="1"/>
      <c r="J9" s="29"/>
      <c r="K9" s="29"/>
      <c r="L9" s="29"/>
      <c r="M9" s="135" t="s">
        <v>101</v>
      </c>
    </row>
    <row r="10" spans="1:13" ht="12.75">
      <c r="A10" s="1"/>
      <c r="B10" s="10"/>
      <c r="C10" s="38"/>
      <c r="D10" s="32"/>
      <c r="E10" s="39" t="s">
        <v>85</v>
      </c>
      <c r="F10" s="36">
        <f>E78</f>
        <v>10.044</v>
      </c>
      <c r="G10" s="37"/>
      <c r="H10" s="1"/>
      <c r="I10" s="1"/>
      <c r="J10" s="29"/>
      <c r="K10" s="29"/>
      <c r="L10" s="29"/>
      <c r="M10" s="8"/>
    </row>
    <row r="11" spans="1:13" ht="13.5" thickBot="1">
      <c r="A11" s="1"/>
      <c r="B11" s="10"/>
      <c r="C11" s="40" t="s">
        <v>6</v>
      </c>
      <c r="D11" s="32"/>
      <c r="E11" s="32"/>
      <c r="F11" s="31"/>
      <c r="G11" s="33"/>
      <c r="H11" s="1"/>
      <c r="I11" s="1"/>
      <c r="J11" s="29"/>
      <c r="K11" s="29"/>
      <c r="L11" s="29"/>
      <c r="M11" s="8"/>
    </row>
    <row r="12" spans="1:16" ht="12.75">
      <c r="A12" s="1"/>
      <c r="B12" s="10"/>
      <c r="C12" s="32" t="s">
        <v>0</v>
      </c>
      <c r="D12" s="41" t="s">
        <v>7</v>
      </c>
      <c r="E12" s="42" t="s">
        <v>8</v>
      </c>
      <c r="F12" s="41" t="s">
        <v>9</v>
      </c>
      <c r="G12" s="43" t="s">
        <v>108</v>
      </c>
      <c r="H12" s="1"/>
      <c r="I12" s="1"/>
      <c r="J12" s="29"/>
      <c r="K12" s="29"/>
      <c r="L12" s="29"/>
      <c r="M12" s="103" t="s">
        <v>7</v>
      </c>
      <c r="N12" s="104" t="s">
        <v>8</v>
      </c>
      <c r="O12" s="104" t="s">
        <v>9</v>
      </c>
      <c r="P12" s="105" t="s">
        <v>108</v>
      </c>
    </row>
    <row r="13" spans="1:16" ht="12.75">
      <c r="A13" s="1"/>
      <c r="B13" s="10"/>
      <c r="C13" s="32" t="s">
        <v>0</v>
      </c>
      <c r="D13" s="41" t="s">
        <v>10</v>
      </c>
      <c r="E13" s="42" t="s">
        <v>11</v>
      </c>
      <c r="F13" s="41" t="s">
        <v>11</v>
      </c>
      <c r="G13" s="43" t="s">
        <v>11</v>
      </c>
      <c r="H13" s="1" t="s">
        <v>12</v>
      </c>
      <c r="I13" s="1"/>
      <c r="J13" s="29" t="s">
        <v>13</v>
      </c>
      <c r="K13" s="29" t="s">
        <v>14</v>
      </c>
      <c r="L13" s="29"/>
      <c r="M13" s="106" t="s">
        <v>96</v>
      </c>
      <c r="N13" s="41" t="s">
        <v>97</v>
      </c>
      <c r="O13" s="41" t="s">
        <v>97</v>
      </c>
      <c r="P13" s="107" t="s">
        <v>97</v>
      </c>
    </row>
    <row r="14" spans="1:16" ht="12.75">
      <c r="A14" s="1"/>
      <c r="B14" s="10"/>
      <c r="C14" s="44" t="s">
        <v>15</v>
      </c>
      <c r="D14" s="45">
        <f>SUM(E14:G14)</f>
        <v>50296</v>
      </c>
      <c r="E14" s="46">
        <f>H78*(K14+H79)/(J14+K14)*1000</f>
        <v>16839.652157216555</v>
      </c>
      <c r="F14" s="45">
        <f>H78*1000-E14</f>
        <v>20340.623828446525</v>
      </c>
      <c r="G14" s="47">
        <f>(H75+E77)*1000</f>
        <v>13115.72401433692</v>
      </c>
      <c r="H14" s="1"/>
      <c r="I14" s="1"/>
      <c r="J14" s="29">
        <v>4.77</v>
      </c>
      <c r="K14" s="29">
        <v>0.033</v>
      </c>
      <c r="L14" s="29"/>
      <c r="M14" s="106" t="s">
        <v>98</v>
      </c>
      <c r="N14" s="41" t="s">
        <v>98</v>
      </c>
      <c r="O14" s="41" t="s">
        <v>98</v>
      </c>
      <c r="P14" s="107" t="s">
        <v>98</v>
      </c>
    </row>
    <row r="15" spans="1:16" ht="9.75" customHeight="1">
      <c r="A15" s="1"/>
      <c r="B15" s="10"/>
      <c r="C15" s="32" t="s">
        <v>0</v>
      </c>
      <c r="D15" s="114">
        <f>D14*2.2046244201838</f>
        <v>110883.78983756441</v>
      </c>
      <c r="E15" s="114">
        <f>E14*2.2046244201838</f>
        <v>37125.108373200426</v>
      </c>
      <c r="F15" s="114">
        <f>F14*2.2046244201838</f>
        <v>44843.43601396571</v>
      </c>
      <c r="G15" s="115">
        <f>G14*2.2046244201838</f>
        <v>28915.245450398277</v>
      </c>
      <c r="H15" s="1"/>
      <c r="I15" s="1"/>
      <c r="J15" s="29"/>
      <c r="K15" s="29"/>
      <c r="L15" s="29"/>
      <c r="M15" s="108"/>
      <c r="N15" s="109"/>
      <c r="O15" s="109"/>
      <c r="P15" s="110"/>
    </row>
    <row r="16" spans="1:16" ht="13.5" thickBot="1">
      <c r="A16" s="1"/>
      <c r="B16" s="16"/>
      <c r="C16" s="48" t="s">
        <v>16</v>
      </c>
      <c r="D16" s="49"/>
      <c r="E16" s="17"/>
      <c r="F16" s="49"/>
      <c r="G16" s="50"/>
      <c r="H16" s="1"/>
      <c r="I16" s="1"/>
      <c r="J16" s="29"/>
      <c r="K16" s="29"/>
      <c r="L16" s="29"/>
      <c r="M16" s="111"/>
      <c r="N16" s="112"/>
      <c r="O16" s="112"/>
      <c r="P16" s="113"/>
    </row>
    <row r="17" spans="1:16" ht="9" customHeight="1">
      <c r="A17" s="1"/>
      <c r="B17" s="51"/>
      <c r="C17" s="1" t="s">
        <v>0</v>
      </c>
      <c r="D17" s="52"/>
      <c r="E17" s="1"/>
      <c r="F17" s="52"/>
      <c r="G17" s="33"/>
      <c r="H17" s="1"/>
      <c r="I17" s="1"/>
      <c r="J17" s="1"/>
      <c r="K17" s="1"/>
      <c r="L17" s="1"/>
      <c r="M17" s="58"/>
      <c r="N17" s="59"/>
      <c r="O17" s="59"/>
      <c r="P17" s="60"/>
    </row>
    <row r="18" spans="1:16" ht="9" customHeight="1">
      <c r="A18" s="1">
        <v>200</v>
      </c>
      <c r="B18" s="53">
        <v>1</v>
      </c>
      <c r="C18" s="54" t="s">
        <v>17</v>
      </c>
      <c r="D18" s="55">
        <f aca="true" t="shared" si="0" ref="D18:D38">B18*A18</f>
        <v>200</v>
      </c>
      <c r="E18" s="56">
        <f>D18-F18</f>
        <v>36.768686237768065</v>
      </c>
      <c r="F18" s="55">
        <f>(J18-H18)/(J18+K18)*D18</f>
        <v>163.23131376223193</v>
      </c>
      <c r="G18" s="57">
        <v>0</v>
      </c>
      <c r="H18" s="91">
        <v>0.85</v>
      </c>
      <c r="I18" s="91"/>
      <c r="J18" s="1">
        <f>$J$14</f>
        <v>4.77</v>
      </c>
      <c r="K18" s="1">
        <f>$K$14</f>
        <v>0.033</v>
      </c>
      <c r="L18" s="1"/>
      <c r="M18" s="116">
        <f>D18*2.2046244201838</f>
        <v>440.92488403676003</v>
      </c>
      <c r="N18" s="117">
        <f>E18*2.2046244201838</f>
        <v>81.0611435778595</v>
      </c>
      <c r="O18" s="117">
        <f>F18*2.2046244201838</f>
        <v>359.8637404589005</v>
      </c>
      <c r="P18" s="118">
        <f>G18*2.2046244201838</f>
        <v>0</v>
      </c>
    </row>
    <row r="19" spans="1:16" ht="9" customHeight="1">
      <c r="A19" s="1">
        <v>200</v>
      </c>
      <c r="B19" s="53">
        <v>0</v>
      </c>
      <c r="C19" s="54" t="s">
        <v>18</v>
      </c>
      <c r="D19" s="55">
        <f t="shared" si="0"/>
        <v>0</v>
      </c>
      <c r="E19" s="61">
        <v>0</v>
      </c>
      <c r="F19" s="62">
        <v>0</v>
      </c>
      <c r="G19" s="63">
        <f>D19</f>
        <v>0</v>
      </c>
      <c r="H19" s="91"/>
      <c r="I19" s="91"/>
      <c r="J19" s="1">
        <f aca="true" t="shared" si="1" ref="J19:J47">$J$14</f>
        <v>4.77</v>
      </c>
      <c r="K19" s="1">
        <f aca="true" t="shared" si="2" ref="K19:K47">$K$14</f>
        <v>0.033</v>
      </c>
      <c r="L19" s="1"/>
      <c r="M19" s="119">
        <f aca="true" t="shared" si="3" ref="M19:P47">D19*2.2046244201838</f>
        <v>0</v>
      </c>
      <c r="N19" s="120">
        <f t="shared" si="3"/>
        <v>0</v>
      </c>
      <c r="O19" s="120">
        <f t="shared" si="3"/>
        <v>0</v>
      </c>
      <c r="P19" s="121">
        <f t="shared" si="3"/>
        <v>0</v>
      </c>
    </row>
    <row r="20" spans="1:16" ht="9" customHeight="1">
      <c r="A20" s="1">
        <v>850</v>
      </c>
      <c r="B20" s="53">
        <v>0</v>
      </c>
      <c r="C20" s="64" t="s">
        <v>19</v>
      </c>
      <c r="D20" s="55">
        <f t="shared" si="0"/>
        <v>0</v>
      </c>
      <c r="E20" s="61">
        <v>0</v>
      </c>
      <c r="F20" s="62">
        <v>0</v>
      </c>
      <c r="G20" s="63">
        <f>D20</f>
        <v>0</v>
      </c>
      <c r="H20" s="91"/>
      <c r="I20" s="91"/>
      <c r="J20" s="1">
        <f t="shared" si="1"/>
        <v>4.77</v>
      </c>
      <c r="K20" s="1">
        <f t="shared" si="2"/>
        <v>0.033</v>
      </c>
      <c r="L20" s="1"/>
      <c r="M20" s="119">
        <f t="shared" si="3"/>
        <v>0</v>
      </c>
      <c r="N20" s="120">
        <f t="shared" si="3"/>
        <v>0</v>
      </c>
      <c r="O20" s="120">
        <f t="shared" si="3"/>
        <v>0</v>
      </c>
      <c r="P20" s="121">
        <f t="shared" si="3"/>
        <v>0</v>
      </c>
    </row>
    <row r="21" spans="1:16" ht="9" customHeight="1">
      <c r="A21" s="1">
        <v>110</v>
      </c>
      <c r="B21" s="53">
        <v>1</v>
      </c>
      <c r="C21" s="54" t="s">
        <v>20</v>
      </c>
      <c r="D21" s="55">
        <f t="shared" si="0"/>
        <v>110</v>
      </c>
      <c r="E21" s="56">
        <f>D21-F21</f>
        <v>44.13283364563816</v>
      </c>
      <c r="F21" s="55">
        <f>(J21-H21)/(J21+K21)*D21</f>
        <v>65.86716635436184</v>
      </c>
      <c r="G21" s="57">
        <v>0</v>
      </c>
      <c r="H21" s="91">
        <v>1.894</v>
      </c>
      <c r="I21" s="91"/>
      <c r="J21" s="1">
        <f t="shared" si="1"/>
        <v>4.77</v>
      </c>
      <c r="K21" s="1">
        <f t="shared" si="2"/>
        <v>0.033</v>
      </c>
      <c r="L21" s="1"/>
      <c r="M21" s="119">
        <f t="shared" si="3"/>
        <v>242.508686220218</v>
      </c>
      <c r="N21" s="120">
        <f t="shared" si="3"/>
        <v>97.29632278708313</v>
      </c>
      <c r="O21" s="120">
        <f t="shared" si="3"/>
        <v>145.2123634331349</v>
      </c>
      <c r="P21" s="121">
        <f t="shared" si="3"/>
        <v>0</v>
      </c>
    </row>
    <row r="22" spans="1:16" ht="9" customHeight="1">
      <c r="A22" s="1">
        <v>1070</v>
      </c>
      <c r="B22" s="53">
        <v>0</v>
      </c>
      <c r="C22" s="54" t="s">
        <v>21</v>
      </c>
      <c r="D22" s="55">
        <f t="shared" si="0"/>
        <v>0</v>
      </c>
      <c r="E22" s="56">
        <f>D22-F22</f>
        <v>0</v>
      </c>
      <c r="F22" s="55">
        <f>(J22-H22)/(J22+K22)*D22</f>
        <v>0</v>
      </c>
      <c r="G22" s="57">
        <v>0</v>
      </c>
      <c r="H22" s="102">
        <v>3.943</v>
      </c>
      <c r="I22" s="91" t="s">
        <v>91</v>
      </c>
      <c r="J22" s="1">
        <f t="shared" si="1"/>
        <v>4.77</v>
      </c>
      <c r="K22" s="1">
        <f t="shared" si="2"/>
        <v>0.033</v>
      </c>
      <c r="L22" s="1"/>
      <c r="M22" s="119">
        <f t="shared" si="3"/>
        <v>0</v>
      </c>
      <c r="N22" s="120">
        <f t="shared" si="3"/>
        <v>0</v>
      </c>
      <c r="O22" s="120">
        <f t="shared" si="3"/>
        <v>0</v>
      </c>
      <c r="P22" s="121">
        <f t="shared" si="3"/>
        <v>0</v>
      </c>
    </row>
    <row r="23" spans="1:16" ht="9" customHeight="1">
      <c r="A23" s="1">
        <v>1173</v>
      </c>
      <c r="B23" s="53">
        <v>1</v>
      </c>
      <c r="C23" s="54" t="s">
        <v>22</v>
      </c>
      <c r="D23" s="55">
        <f t="shared" si="0"/>
        <v>1173</v>
      </c>
      <c r="E23" s="56">
        <f>D23-F23</f>
        <v>908.7514053716429</v>
      </c>
      <c r="F23" s="55">
        <f>(J23-H23)/(J23+K23)*D23</f>
        <v>264.2485946283571</v>
      </c>
      <c r="G23" s="57">
        <v>0</v>
      </c>
      <c r="H23" s="102">
        <v>3.688</v>
      </c>
      <c r="I23" s="91" t="s">
        <v>91</v>
      </c>
      <c r="J23" s="1">
        <f t="shared" si="1"/>
        <v>4.77</v>
      </c>
      <c r="K23" s="1">
        <f t="shared" si="2"/>
        <v>0.033</v>
      </c>
      <c r="L23" s="1"/>
      <c r="M23" s="119">
        <f t="shared" si="3"/>
        <v>2586.0244448755975</v>
      </c>
      <c r="N23" s="120">
        <f t="shared" si="3"/>
        <v>2003.4555401586717</v>
      </c>
      <c r="O23" s="120">
        <f t="shared" si="3"/>
        <v>582.5689047169259</v>
      </c>
      <c r="P23" s="121">
        <f t="shared" si="3"/>
        <v>0</v>
      </c>
    </row>
    <row r="24" spans="1:16" ht="9" customHeight="1">
      <c r="A24" s="1">
        <v>86</v>
      </c>
      <c r="B24" s="53">
        <v>1</v>
      </c>
      <c r="C24" s="54" t="s">
        <v>23</v>
      </c>
      <c r="D24" s="55">
        <f t="shared" si="0"/>
        <v>86</v>
      </c>
      <c r="E24" s="56">
        <f>(D24-G24)*(DMAFA+K24)/(J24+K24)</f>
        <v>13.457954519166263</v>
      </c>
      <c r="F24" s="55">
        <f aca="true" t="shared" si="4" ref="F24:F29">D24-E24-G24</f>
        <v>11.66390928011689</v>
      </c>
      <c r="G24" s="57">
        <f>(H24+DMAFA)/E78*D24</f>
        <v>60.878136200716845</v>
      </c>
      <c r="H24" s="102">
        <v>4.57</v>
      </c>
      <c r="I24" s="98" t="s">
        <v>87</v>
      </c>
      <c r="J24" s="1">
        <f t="shared" si="1"/>
        <v>4.77</v>
      </c>
      <c r="K24" s="1">
        <f t="shared" si="2"/>
        <v>0.033</v>
      </c>
      <c r="L24" s="1"/>
      <c r="M24" s="119">
        <f t="shared" si="3"/>
        <v>189.5977001358068</v>
      </c>
      <c r="N24" s="120">
        <f t="shared" si="3"/>
        <v>29.669735178676873</v>
      </c>
      <c r="O24" s="120">
        <f t="shared" si="3"/>
        <v>25.714539233754145</v>
      </c>
      <c r="P24" s="121">
        <f t="shared" si="3"/>
        <v>134.2134257233758</v>
      </c>
    </row>
    <row r="25" spans="1:16" ht="9" customHeight="1">
      <c r="A25" s="1"/>
      <c r="B25" s="129"/>
      <c r="C25" s="64"/>
      <c r="D25" s="55"/>
      <c r="E25" s="56"/>
      <c r="F25" s="55"/>
      <c r="G25" s="57"/>
      <c r="H25" s="102"/>
      <c r="I25" s="91"/>
      <c r="J25" s="1"/>
      <c r="K25" s="1"/>
      <c r="L25" s="1"/>
      <c r="M25" s="119"/>
      <c r="N25" s="120"/>
      <c r="O25" s="120"/>
      <c r="P25" s="121"/>
    </row>
    <row r="26" spans="1:16" ht="9" customHeight="1">
      <c r="A26" s="1">
        <v>210</v>
      </c>
      <c r="B26" s="53">
        <v>1</v>
      </c>
      <c r="C26" s="65" t="s">
        <v>88</v>
      </c>
      <c r="D26" s="55">
        <f>B26*A26</f>
        <v>210</v>
      </c>
      <c r="E26" s="56">
        <f>(D26-G26)*(DMAFA+K26)/(J26+K26)</f>
        <v>7.302766018152245</v>
      </c>
      <c r="F26" s="55">
        <f t="shared" si="4"/>
        <v>6.329253097737848</v>
      </c>
      <c r="G26" s="57">
        <f>(H26+DMAFA)/E78*D26</f>
        <v>196.3679808841099</v>
      </c>
      <c r="H26" s="102">
        <v>6.852</v>
      </c>
      <c r="I26" s="98" t="s">
        <v>87</v>
      </c>
      <c r="J26" s="1">
        <f t="shared" si="1"/>
        <v>4.77</v>
      </c>
      <c r="K26" s="1">
        <f t="shared" si="2"/>
        <v>0.033</v>
      </c>
      <c r="L26" s="1"/>
      <c r="M26" s="119">
        <f t="shared" si="3"/>
        <v>462.971128238598</v>
      </c>
      <c r="N26" s="120">
        <f t="shared" si="3"/>
        <v>16.099856298506854</v>
      </c>
      <c r="O26" s="120">
        <f t="shared" si="3"/>
        <v>13.953625940796822</v>
      </c>
      <c r="P26" s="121">
        <f t="shared" si="3"/>
        <v>432.91764599929434</v>
      </c>
    </row>
    <row r="27" spans="1:16" ht="9" customHeight="1">
      <c r="A27" s="1">
        <v>1394</v>
      </c>
      <c r="B27" s="53">
        <v>0</v>
      </c>
      <c r="C27" s="64" t="s">
        <v>24</v>
      </c>
      <c r="D27" s="55">
        <f>B27*A27</f>
        <v>0</v>
      </c>
      <c r="E27" s="56">
        <f>(D27-G27)*(DMAFA+K27)/(J27+K27)</f>
        <v>0</v>
      </c>
      <c r="F27" s="55">
        <f t="shared" si="4"/>
        <v>0</v>
      </c>
      <c r="G27" s="57">
        <f>(H27+DMAFA)/E78*D27</f>
        <v>0</v>
      </c>
      <c r="H27" s="102">
        <v>6.161</v>
      </c>
      <c r="I27" s="98" t="s">
        <v>87</v>
      </c>
      <c r="J27" s="1">
        <f t="shared" si="1"/>
        <v>4.77</v>
      </c>
      <c r="K27" s="1">
        <f t="shared" si="2"/>
        <v>0.033</v>
      </c>
      <c r="L27" s="1"/>
      <c r="M27" s="119">
        <f t="shared" si="3"/>
        <v>0</v>
      </c>
      <c r="N27" s="120">
        <f t="shared" si="3"/>
        <v>0</v>
      </c>
      <c r="O27" s="120">
        <f t="shared" si="3"/>
        <v>0</v>
      </c>
      <c r="P27" s="121">
        <f t="shared" si="3"/>
        <v>0</v>
      </c>
    </row>
    <row r="28" spans="1:16" ht="9" customHeight="1">
      <c r="A28" s="1">
        <v>1744</v>
      </c>
      <c r="B28" s="53">
        <v>1</v>
      </c>
      <c r="C28" s="64" t="s">
        <v>25</v>
      </c>
      <c r="D28" s="55">
        <f>B28*A28</f>
        <v>1744</v>
      </c>
      <c r="E28" s="56">
        <f>(D28-G28)*(DMAFA+K28)/(J28+K28)</f>
        <v>197.01211434211643</v>
      </c>
      <c r="F28" s="55">
        <f t="shared" si="4"/>
        <v>170.74893703183807</v>
      </c>
      <c r="G28" s="57">
        <f>(H28+DMAFA)/E78*D28</f>
        <v>1376.2389486260454</v>
      </c>
      <c r="H28" s="102">
        <v>5.386</v>
      </c>
      <c r="I28" s="98" t="s">
        <v>87</v>
      </c>
      <c r="J28" s="1">
        <f t="shared" si="1"/>
        <v>4.77</v>
      </c>
      <c r="K28" s="1">
        <f t="shared" si="2"/>
        <v>0.033</v>
      </c>
      <c r="L28" s="1"/>
      <c r="M28" s="119">
        <f t="shared" si="3"/>
        <v>3844.8649888005475</v>
      </c>
      <c r="N28" s="120">
        <f t="shared" si="3"/>
        <v>434.33771835067296</v>
      </c>
      <c r="O28" s="120">
        <f t="shared" si="3"/>
        <v>376.4372763008162</v>
      </c>
      <c r="P28" s="121">
        <f t="shared" si="3"/>
        <v>3034.089994149058</v>
      </c>
    </row>
    <row r="29" spans="1:16" ht="9" customHeight="1">
      <c r="A29" s="1">
        <v>1424</v>
      </c>
      <c r="B29" s="53">
        <v>0</v>
      </c>
      <c r="C29" s="65" t="s">
        <v>89</v>
      </c>
      <c r="D29" s="55">
        <f>B29*A29</f>
        <v>0</v>
      </c>
      <c r="E29" s="56">
        <f>(D29-G29)*(DMAFA+K29)/(J29+K29)</f>
        <v>0</v>
      </c>
      <c r="F29" s="55">
        <f t="shared" si="4"/>
        <v>0</v>
      </c>
      <c r="G29" s="57">
        <f>(H29+DMAFA)/E79*D29</f>
        <v>0</v>
      </c>
      <c r="H29" s="102">
        <v>4.948</v>
      </c>
      <c r="I29" s="98" t="s">
        <v>87</v>
      </c>
      <c r="J29" s="1">
        <f t="shared" si="1"/>
        <v>4.77</v>
      </c>
      <c r="K29" s="1">
        <f t="shared" si="2"/>
        <v>0.033</v>
      </c>
      <c r="L29" s="1"/>
      <c r="M29" s="119">
        <f>D29*2.2046244201838</f>
        <v>0</v>
      </c>
      <c r="N29" s="120">
        <f>E29*2.2046244201838</f>
        <v>0</v>
      </c>
      <c r="O29" s="120">
        <f>F29*2.2046244201838</f>
        <v>0</v>
      </c>
      <c r="P29" s="121">
        <f>G29*2.2046244201838</f>
        <v>0</v>
      </c>
    </row>
    <row r="30" spans="1:16" ht="9" customHeight="1">
      <c r="A30" s="1">
        <v>40</v>
      </c>
      <c r="B30" s="53">
        <v>1</v>
      </c>
      <c r="C30" s="54" t="s">
        <v>90</v>
      </c>
      <c r="D30" s="55">
        <f t="shared" si="0"/>
        <v>40</v>
      </c>
      <c r="E30" s="56">
        <f aca="true" t="shared" si="5" ref="E30:E35">D30-F30</f>
        <v>21.09514886529253</v>
      </c>
      <c r="F30" s="55">
        <f aca="true" t="shared" si="6" ref="F30:F35">(J30-H30)/(J30+K30)*D30</f>
        <v>18.90485113470747</v>
      </c>
      <c r="G30" s="57">
        <v>0</v>
      </c>
      <c r="H30" s="102">
        <v>2.5</v>
      </c>
      <c r="I30" s="91" t="s">
        <v>91</v>
      </c>
      <c r="J30" s="1">
        <f t="shared" si="1"/>
        <v>4.77</v>
      </c>
      <c r="K30" s="1">
        <f t="shared" si="2"/>
        <v>0.033</v>
      </c>
      <c r="L30" s="1"/>
      <c r="M30" s="119">
        <f t="shared" si="3"/>
        <v>88.184976807352</v>
      </c>
      <c r="N30" s="120">
        <f t="shared" si="3"/>
        <v>46.50688033583649</v>
      </c>
      <c r="O30" s="120">
        <f t="shared" si="3"/>
        <v>41.678096471515516</v>
      </c>
      <c r="P30" s="121">
        <f t="shared" si="3"/>
        <v>0</v>
      </c>
    </row>
    <row r="31" spans="1:16" ht="9" customHeight="1">
      <c r="A31" s="1">
        <v>600</v>
      </c>
      <c r="B31" s="53">
        <v>0</v>
      </c>
      <c r="C31" s="54" t="s">
        <v>26</v>
      </c>
      <c r="D31" s="55">
        <f t="shared" si="0"/>
        <v>0</v>
      </c>
      <c r="E31" s="56">
        <f t="shared" si="5"/>
        <v>0</v>
      </c>
      <c r="F31" s="55">
        <f t="shared" si="6"/>
        <v>0</v>
      </c>
      <c r="G31" s="57">
        <v>0</v>
      </c>
      <c r="H31" s="102">
        <v>1.888</v>
      </c>
      <c r="I31" s="91"/>
      <c r="J31" s="1">
        <f t="shared" si="1"/>
        <v>4.77</v>
      </c>
      <c r="K31" s="1">
        <f t="shared" si="2"/>
        <v>0.033</v>
      </c>
      <c r="L31" s="1"/>
      <c r="M31" s="119">
        <f t="shared" si="3"/>
        <v>0</v>
      </c>
      <c r="N31" s="120">
        <f t="shared" si="3"/>
        <v>0</v>
      </c>
      <c r="O31" s="120">
        <f t="shared" si="3"/>
        <v>0</v>
      </c>
      <c r="P31" s="121">
        <f t="shared" si="3"/>
        <v>0</v>
      </c>
    </row>
    <row r="32" spans="1:16" ht="9" customHeight="1">
      <c r="A32" s="1">
        <v>1030</v>
      </c>
      <c r="B32" s="53">
        <v>1</v>
      </c>
      <c r="C32" s="54" t="s">
        <v>27</v>
      </c>
      <c r="D32" s="55">
        <f t="shared" si="0"/>
        <v>1030</v>
      </c>
      <c r="E32" s="56">
        <f t="shared" si="5"/>
        <v>411.9571101394962</v>
      </c>
      <c r="F32" s="55">
        <f t="shared" si="6"/>
        <v>618.0428898605038</v>
      </c>
      <c r="G32" s="57">
        <v>0</v>
      </c>
      <c r="H32" s="102">
        <v>1.888</v>
      </c>
      <c r="I32" s="91"/>
      <c r="J32" s="1">
        <f t="shared" si="1"/>
        <v>4.77</v>
      </c>
      <c r="K32" s="1">
        <f t="shared" si="2"/>
        <v>0.033</v>
      </c>
      <c r="L32" s="1"/>
      <c r="M32" s="119">
        <f t="shared" si="3"/>
        <v>2270.763152789314</v>
      </c>
      <c r="N32" s="120">
        <f t="shared" si="3"/>
        <v>908.2107050818806</v>
      </c>
      <c r="O32" s="120">
        <f t="shared" si="3"/>
        <v>1362.5524477074334</v>
      </c>
      <c r="P32" s="121">
        <f t="shared" si="3"/>
        <v>0</v>
      </c>
    </row>
    <row r="33" spans="1:16" ht="9" customHeight="1">
      <c r="A33" s="1">
        <v>-439</v>
      </c>
      <c r="B33" s="53">
        <v>0</v>
      </c>
      <c r="C33" s="54" t="s">
        <v>106</v>
      </c>
      <c r="D33" s="55">
        <f>B33*A33</f>
        <v>0</v>
      </c>
      <c r="E33" s="56">
        <f t="shared" si="5"/>
        <v>0</v>
      </c>
      <c r="F33" s="55">
        <f t="shared" si="6"/>
        <v>0</v>
      </c>
      <c r="G33" s="57">
        <v>0</v>
      </c>
      <c r="H33" s="102">
        <v>1.888</v>
      </c>
      <c r="I33" s="91"/>
      <c r="J33" s="1">
        <f t="shared" si="1"/>
        <v>4.77</v>
      </c>
      <c r="K33" s="1">
        <f t="shared" si="2"/>
        <v>0.033</v>
      </c>
      <c r="L33" s="1"/>
      <c r="M33" s="119">
        <f t="shared" si="3"/>
        <v>0</v>
      </c>
      <c r="N33" s="120">
        <f t="shared" si="3"/>
        <v>0</v>
      </c>
      <c r="O33" s="120">
        <f t="shared" si="3"/>
        <v>0</v>
      </c>
      <c r="P33" s="121">
        <f t="shared" si="3"/>
        <v>0</v>
      </c>
    </row>
    <row r="34" spans="1:16" ht="9" customHeight="1">
      <c r="A34" s="1">
        <v>411</v>
      </c>
      <c r="B34" s="53">
        <v>0</v>
      </c>
      <c r="C34" s="54" t="s">
        <v>102</v>
      </c>
      <c r="D34" s="55">
        <f>B34*A34</f>
        <v>0</v>
      </c>
      <c r="E34" s="56">
        <f t="shared" si="5"/>
        <v>0</v>
      </c>
      <c r="F34" s="55">
        <f t="shared" si="6"/>
        <v>0</v>
      </c>
      <c r="G34" s="57">
        <v>0</v>
      </c>
      <c r="H34" s="102">
        <v>1.888</v>
      </c>
      <c r="I34" s="91"/>
      <c r="J34" s="1">
        <f t="shared" si="1"/>
        <v>4.77</v>
      </c>
      <c r="K34" s="1">
        <f t="shared" si="2"/>
        <v>0.033</v>
      </c>
      <c r="L34" s="1"/>
      <c r="M34" s="119">
        <f t="shared" si="3"/>
        <v>0</v>
      </c>
      <c r="N34" s="120">
        <f t="shared" si="3"/>
        <v>0</v>
      </c>
      <c r="O34" s="120">
        <f t="shared" si="3"/>
        <v>0</v>
      </c>
      <c r="P34" s="121">
        <f t="shared" si="3"/>
        <v>0</v>
      </c>
    </row>
    <row r="35" spans="1:16" ht="9" customHeight="1">
      <c r="A35" s="1">
        <v>520</v>
      </c>
      <c r="B35" s="53">
        <v>0</v>
      </c>
      <c r="C35" s="54" t="s">
        <v>103</v>
      </c>
      <c r="D35" s="55">
        <f>B35*A35</f>
        <v>0</v>
      </c>
      <c r="E35" s="56">
        <f t="shared" si="5"/>
        <v>0</v>
      </c>
      <c r="F35" s="55">
        <f t="shared" si="6"/>
        <v>0</v>
      </c>
      <c r="G35" s="57">
        <v>0</v>
      </c>
      <c r="H35" s="102">
        <v>1.888</v>
      </c>
      <c r="I35" s="91"/>
      <c r="J35" s="1">
        <f t="shared" si="1"/>
        <v>4.77</v>
      </c>
      <c r="K35" s="1">
        <f t="shared" si="2"/>
        <v>0.033</v>
      </c>
      <c r="L35" s="1"/>
      <c r="M35" s="119">
        <f t="shared" si="3"/>
        <v>0</v>
      </c>
      <c r="N35" s="120">
        <f t="shared" si="3"/>
        <v>0</v>
      </c>
      <c r="O35" s="120">
        <f t="shared" si="3"/>
        <v>0</v>
      </c>
      <c r="P35" s="121">
        <f t="shared" si="3"/>
        <v>0</v>
      </c>
    </row>
    <row r="36" spans="1:16" ht="9" customHeight="1">
      <c r="A36" s="1">
        <v>239</v>
      </c>
      <c r="B36" s="53">
        <v>0</v>
      </c>
      <c r="C36" s="54" t="s">
        <v>28</v>
      </c>
      <c r="D36" s="55">
        <f t="shared" si="0"/>
        <v>0</v>
      </c>
      <c r="E36" s="61">
        <v>0</v>
      </c>
      <c r="F36" s="62">
        <v>0</v>
      </c>
      <c r="G36" s="63">
        <f>D36</f>
        <v>0</v>
      </c>
      <c r="H36" s="102"/>
      <c r="I36" s="91"/>
      <c r="J36" s="1">
        <f t="shared" si="1"/>
        <v>4.77</v>
      </c>
      <c r="K36" s="1">
        <f t="shared" si="2"/>
        <v>0.033</v>
      </c>
      <c r="L36" s="1"/>
      <c r="M36" s="119">
        <f t="shared" si="3"/>
        <v>0</v>
      </c>
      <c r="N36" s="120">
        <f t="shared" si="3"/>
        <v>0</v>
      </c>
      <c r="O36" s="120">
        <f t="shared" si="3"/>
        <v>0</v>
      </c>
      <c r="P36" s="121">
        <f t="shared" si="3"/>
        <v>0</v>
      </c>
    </row>
    <row r="37" spans="1:16" ht="9" customHeight="1">
      <c r="A37" s="1">
        <v>299</v>
      </c>
      <c r="B37" s="53">
        <v>0</v>
      </c>
      <c r="C37" s="54" t="s">
        <v>29</v>
      </c>
      <c r="D37" s="55">
        <f t="shared" si="0"/>
        <v>0</v>
      </c>
      <c r="E37" s="61">
        <v>0</v>
      </c>
      <c r="F37" s="62">
        <v>0</v>
      </c>
      <c r="G37" s="63">
        <f>D37</f>
        <v>0</v>
      </c>
      <c r="H37" s="102"/>
      <c r="I37" s="91"/>
      <c r="J37" s="1">
        <f t="shared" si="1"/>
        <v>4.77</v>
      </c>
      <c r="K37" s="1">
        <f t="shared" si="2"/>
        <v>0.033</v>
      </c>
      <c r="L37" s="1"/>
      <c r="M37" s="119">
        <f t="shared" si="3"/>
        <v>0</v>
      </c>
      <c r="N37" s="120">
        <f t="shared" si="3"/>
        <v>0</v>
      </c>
      <c r="O37" s="120">
        <f t="shared" si="3"/>
        <v>0</v>
      </c>
      <c r="P37" s="121">
        <f t="shared" si="3"/>
        <v>0</v>
      </c>
    </row>
    <row r="38" spans="1:16" ht="9" customHeight="1">
      <c r="A38" s="1">
        <v>342</v>
      </c>
      <c r="B38" s="53">
        <v>0</v>
      </c>
      <c r="C38" s="54" t="s">
        <v>30</v>
      </c>
      <c r="D38" s="55">
        <f t="shared" si="0"/>
        <v>0</v>
      </c>
      <c r="E38" s="61">
        <v>0</v>
      </c>
      <c r="F38" s="62">
        <v>0</v>
      </c>
      <c r="G38" s="63">
        <f>D38</f>
        <v>0</v>
      </c>
      <c r="H38" s="102"/>
      <c r="I38" s="91"/>
      <c r="J38" s="1">
        <f t="shared" si="1"/>
        <v>4.77</v>
      </c>
      <c r="K38" s="1">
        <f t="shared" si="2"/>
        <v>0.033</v>
      </c>
      <c r="L38" s="1"/>
      <c r="M38" s="119">
        <f t="shared" si="3"/>
        <v>0</v>
      </c>
      <c r="N38" s="120">
        <f t="shared" si="3"/>
        <v>0</v>
      </c>
      <c r="O38" s="120">
        <f t="shared" si="3"/>
        <v>0</v>
      </c>
      <c r="P38" s="121">
        <f t="shared" si="3"/>
        <v>0</v>
      </c>
    </row>
    <row r="39" spans="1:16" ht="9" customHeight="1">
      <c r="A39" s="1"/>
      <c r="B39" s="53">
        <v>0</v>
      </c>
      <c r="C39" s="64" t="s">
        <v>31</v>
      </c>
      <c r="D39" s="66">
        <f>B39*1000</f>
        <v>0</v>
      </c>
      <c r="E39" s="56">
        <f>D39-F39</f>
        <v>0</v>
      </c>
      <c r="F39" s="55">
        <f>(J39-H39)/(J39+K39)*D39</f>
        <v>0</v>
      </c>
      <c r="G39" s="67">
        <v>0</v>
      </c>
      <c r="H39" s="102">
        <v>3.61</v>
      </c>
      <c r="I39" s="91"/>
      <c r="J39" s="1">
        <f t="shared" si="1"/>
        <v>4.77</v>
      </c>
      <c r="K39" s="1">
        <f t="shared" si="2"/>
        <v>0.033</v>
      </c>
      <c r="L39" s="1"/>
      <c r="M39" s="119">
        <f t="shared" si="3"/>
        <v>0</v>
      </c>
      <c r="N39" s="120">
        <f t="shared" si="3"/>
        <v>0</v>
      </c>
      <c r="O39" s="120">
        <f t="shared" si="3"/>
        <v>0</v>
      </c>
      <c r="P39" s="121">
        <f t="shared" si="3"/>
        <v>0</v>
      </c>
    </row>
    <row r="40" spans="1:16" ht="9" customHeight="1">
      <c r="A40" s="1">
        <v>-1360</v>
      </c>
      <c r="B40" s="53">
        <v>0</v>
      </c>
      <c r="C40" s="54" t="s">
        <v>32</v>
      </c>
      <c r="D40" s="55">
        <f>B40*A40</f>
        <v>0</v>
      </c>
      <c r="E40" s="56">
        <f>D40-F40</f>
        <v>0</v>
      </c>
      <c r="F40" s="55">
        <f>(J40-H40)/(J40+K40)*D40</f>
        <v>0</v>
      </c>
      <c r="G40" s="57">
        <v>0</v>
      </c>
      <c r="H40" s="102">
        <v>4.75</v>
      </c>
      <c r="I40" s="91"/>
      <c r="J40" s="1">
        <f t="shared" si="1"/>
        <v>4.77</v>
      </c>
      <c r="K40" s="1">
        <f t="shared" si="2"/>
        <v>0.033</v>
      </c>
      <c r="L40" s="1"/>
      <c r="M40" s="119">
        <f t="shared" si="3"/>
        <v>0</v>
      </c>
      <c r="N40" s="120">
        <f t="shared" si="3"/>
        <v>0</v>
      </c>
      <c r="O40" s="120">
        <f t="shared" si="3"/>
        <v>0</v>
      </c>
      <c r="P40" s="121">
        <f t="shared" si="3"/>
        <v>0</v>
      </c>
    </row>
    <row r="41" spans="1:16" ht="9" customHeight="1">
      <c r="A41" s="1">
        <v>-1450</v>
      </c>
      <c r="B41" s="53">
        <v>0</v>
      </c>
      <c r="C41" s="54" t="s">
        <v>33</v>
      </c>
      <c r="D41" s="55">
        <f>B41*A41</f>
        <v>0</v>
      </c>
      <c r="E41" s="56">
        <f>D41-F41</f>
        <v>0</v>
      </c>
      <c r="F41" s="55">
        <f>(J41-H41)/(J41+K41)*D41</f>
        <v>0</v>
      </c>
      <c r="G41" s="57">
        <v>0</v>
      </c>
      <c r="H41" s="102">
        <v>-3.05</v>
      </c>
      <c r="I41" s="91"/>
      <c r="J41" s="1">
        <f t="shared" si="1"/>
        <v>4.77</v>
      </c>
      <c r="K41" s="1">
        <f t="shared" si="2"/>
        <v>0.033</v>
      </c>
      <c r="L41" s="1"/>
      <c r="M41" s="119">
        <f t="shared" si="3"/>
        <v>0</v>
      </c>
      <c r="N41" s="120">
        <f t="shared" si="3"/>
        <v>0</v>
      </c>
      <c r="O41" s="120">
        <f t="shared" si="3"/>
        <v>0</v>
      </c>
      <c r="P41" s="121">
        <f t="shared" si="3"/>
        <v>0</v>
      </c>
    </row>
    <row r="42" spans="1:16" ht="9" customHeight="1">
      <c r="A42" s="1">
        <v>-473</v>
      </c>
      <c r="B42" s="53">
        <v>0</v>
      </c>
      <c r="C42" s="54" t="s">
        <v>92</v>
      </c>
      <c r="D42" s="55">
        <f>B42*A42</f>
        <v>0</v>
      </c>
      <c r="E42" s="56">
        <f>D42-F42</f>
        <v>0</v>
      </c>
      <c r="F42" s="55">
        <f>(J42-H42)/(J42+K42)*D42</f>
        <v>0</v>
      </c>
      <c r="G42" s="57">
        <v>0</v>
      </c>
      <c r="H42" s="102">
        <v>2.703</v>
      </c>
      <c r="I42" s="91" t="s">
        <v>91</v>
      </c>
      <c r="J42" s="1">
        <f t="shared" si="1"/>
        <v>4.77</v>
      </c>
      <c r="K42" s="1">
        <f t="shared" si="2"/>
        <v>0.033</v>
      </c>
      <c r="L42" s="1"/>
      <c r="M42" s="119">
        <f t="shared" si="3"/>
        <v>0</v>
      </c>
      <c r="N42" s="120">
        <f t="shared" si="3"/>
        <v>0</v>
      </c>
      <c r="O42" s="120">
        <f t="shared" si="3"/>
        <v>0</v>
      </c>
      <c r="P42" s="121">
        <f t="shared" si="3"/>
        <v>0</v>
      </c>
    </row>
    <row r="43" spans="1:16" ht="9" customHeight="1">
      <c r="A43" s="1"/>
      <c r="B43" s="53">
        <v>0</v>
      </c>
      <c r="C43" s="54" t="s">
        <v>34</v>
      </c>
      <c r="D43" s="66">
        <v>0</v>
      </c>
      <c r="E43" s="61">
        <f>G43*(K43+DMAFA)/(J43+K43)*(-1)</f>
        <v>0</v>
      </c>
      <c r="F43" s="62">
        <f>(G43+E43)*(-1)</f>
        <v>0</v>
      </c>
      <c r="G43" s="63">
        <f>E76*B43*0.6617/E78*1000</f>
        <v>0</v>
      </c>
      <c r="H43" s="102"/>
      <c r="I43" s="91"/>
      <c r="J43" s="1">
        <f t="shared" si="1"/>
        <v>4.77</v>
      </c>
      <c r="K43" s="1">
        <f t="shared" si="2"/>
        <v>0.033</v>
      </c>
      <c r="L43" s="1"/>
      <c r="M43" s="119">
        <f t="shared" si="3"/>
        <v>0</v>
      </c>
      <c r="N43" s="120">
        <f t="shared" si="3"/>
        <v>0</v>
      </c>
      <c r="O43" s="120">
        <f t="shared" si="3"/>
        <v>0</v>
      </c>
      <c r="P43" s="121">
        <f t="shared" si="3"/>
        <v>0</v>
      </c>
    </row>
    <row r="44" spans="1:16" ht="9" customHeight="1">
      <c r="A44" s="1"/>
      <c r="B44" s="129"/>
      <c r="C44" s="54"/>
      <c r="D44" s="55">
        <f>B44*A44</f>
        <v>0</v>
      </c>
      <c r="E44" s="56">
        <f>(D44-G44)*(DMAFA+K44)/(J44+K44)</f>
        <v>0</v>
      </c>
      <c r="F44" s="55">
        <f>D44-E44-G44</f>
        <v>0</v>
      </c>
      <c r="G44" s="63">
        <f>A44*B44*(E80+B43)/E78</f>
        <v>0</v>
      </c>
      <c r="H44" s="91"/>
      <c r="I44" s="91"/>
      <c r="J44" s="1">
        <f t="shared" si="1"/>
        <v>4.77</v>
      </c>
      <c r="K44" s="1">
        <f t="shared" si="2"/>
        <v>0.033</v>
      </c>
      <c r="L44" s="1"/>
      <c r="M44" s="119"/>
      <c r="N44" s="120"/>
      <c r="O44" s="120"/>
      <c r="P44" s="121"/>
    </row>
    <row r="45" spans="1:16" ht="9" customHeight="1">
      <c r="A45" s="1"/>
      <c r="B45" s="129"/>
      <c r="C45" s="68" t="s">
        <v>35</v>
      </c>
      <c r="D45" s="66"/>
      <c r="E45" s="56"/>
      <c r="F45" s="55"/>
      <c r="G45" s="63"/>
      <c r="H45" s="91"/>
      <c r="I45" s="91"/>
      <c r="J45" s="1">
        <f t="shared" si="1"/>
        <v>4.77</v>
      </c>
      <c r="K45" s="1">
        <f t="shared" si="2"/>
        <v>0.033</v>
      </c>
      <c r="L45" s="1"/>
      <c r="M45" s="119"/>
      <c r="N45" s="120"/>
      <c r="O45" s="120"/>
      <c r="P45" s="121"/>
    </row>
    <row r="46" spans="1:16" ht="9" customHeight="1">
      <c r="A46" s="1">
        <v>1.517</v>
      </c>
      <c r="B46" s="53">
        <v>0</v>
      </c>
      <c r="C46" s="64" t="s">
        <v>104</v>
      </c>
      <c r="D46" s="66">
        <v>0</v>
      </c>
      <c r="E46" s="56">
        <f>(E78-DMAFA-K46)*G46/(J46+K46)</f>
        <v>0</v>
      </c>
      <c r="F46" s="55">
        <f>(E46+G46)*(-1)</f>
        <v>0</v>
      </c>
      <c r="G46" s="63">
        <f>A46/E78*B46*1000*(-1)</f>
        <v>0</v>
      </c>
      <c r="H46" s="91"/>
      <c r="I46" s="91"/>
      <c r="J46" s="1">
        <f t="shared" si="1"/>
        <v>4.77</v>
      </c>
      <c r="K46" s="1">
        <f t="shared" si="2"/>
        <v>0.033</v>
      </c>
      <c r="L46" s="1"/>
      <c r="M46" s="119">
        <f t="shared" si="3"/>
        <v>0</v>
      </c>
      <c r="N46" s="120">
        <f t="shared" si="3"/>
        <v>0</v>
      </c>
      <c r="O46" s="120">
        <f t="shared" si="3"/>
        <v>0</v>
      </c>
      <c r="P46" s="121">
        <f t="shared" si="3"/>
        <v>0</v>
      </c>
    </row>
    <row r="47" spans="1:16" ht="9" customHeight="1">
      <c r="A47" s="1">
        <v>1.517</v>
      </c>
      <c r="B47" s="53">
        <v>0</v>
      </c>
      <c r="C47" s="54" t="s">
        <v>105</v>
      </c>
      <c r="D47" s="66">
        <v>0</v>
      </c>
      <c r="E47" s="56">
        <f>(E78-DMAFA-K47)*G47/(J47+K47)</f>
        <v>0</v>
      </c>
      <c r="F47" s="55">
        <f>(E47+G47)*(-1)</f>
        <v>0</v>
      </c>
      <c r="G47" s="63">
        <f>A47/E78*B47*1000</f>
        <v>0</v>
      </c>
      <c r="H47" s="91"/>
      <c r="I47" s="91"/>
      <c r="J47" s="1">
        <f t="shared" si="1"/>
        <v>4.77</v>
      </c>
      <c r="K47" s="1">
        <f t="shared" si="2"/>
        <v>0.033</v>
      </c>
      <c r="L47" s="1"/>
      <c r="M47" s="119">
        <f t="shared" si="3"/>
        <v>0</v>
      </c>
      <c r="N47" s="120">
        <f t="shared" si="3"/>
        <v>0</v>
      </c>
      <c r="O47" s="120">
        <f t="shared" si="3"/>
        <v>0</v>
      </c>
      <c r="P47" s="121">
        <f t="shared" si="3"/>
        <v>0</v>
      </c>
    </row>
    <row r="48" spans="1:16" ht="9" customHeight="1">
      <c r="A48" s="1"/>
      <c r="B48" s="130"/>
      <c r="C48" s="64" t="s">
        <v>36</v>
      </c>
      <c r="D48" s="66"/>
      <c r="E48" s="56"/>
      <c r="F48" s="55"/>
      <c r="G48" s="63"/>
      <c r="H48" s="1"/>
      <c r="I48" s="1"/>
      <c r="J48" s="1"/>
      <c r="K48" s="1"/>
      <c r="L48" s="1"/>
      <c r="M48" s="119"/>
      <c r="N48" s="120"/>
      <c r="O48" s="120"/>
      <c r="P48" s="121"/>
    </row>
    <row r="49" spans="1:16" ht="9" customHeight="1" thickBot="1">
      <c r="A49" s="1"/>
      <c r="B49" s="131"/>
      <c r="C49" s="69" t="s">
        <v>37</v>
      </c>
      <c r="D49" s="70"/>
      <c r="E49" s="71"/>
      <c r="F49" s="70"/>
      <c r="G49" s="72"/>
      <c r="H49" s="1"/>
      <c r="I49" s="1"/>
      <c r="J49" s="1"/>
      <c r="K49" s="1"/>
      <c r="L49" s="1"/>
      <c r="M49" s="122"/>
      <c r="N49" s="123"/>
      <c r="O49" s="123"/>
      <c r="P49" s="124"/>
    </row>
    <row r="50" spans="1:13" ht="13.5" customHeight="1">
      <c r="A50" s="1"/>
      <c r="B50" s="21"/>
      <c r="C50" s="3" t="s">
        <v>0</v>
      </c>
      <c r="D50" s="73"/>
      <c r="E50" s="3"/>
      <c r="F50" s="73"/>
      <c r="G50" s="22"/>
      <c r="H50" s="1"/>
      <c r="I50" s="1"/>
      <c r="J50" s="7"/>
      <c r="K50" s="7"/>
      <c r="L50" s="7"/>
      <c r="M50" s="8"/>
    </row>
    <row r="51" spans="1:13" ht="13.5" customHeight="1">
      <c r="A51" s="1"/>
      <c r="B51" s="10"/>
      <c r="C51" s="44" t="s">
        <v>38</v>
      </c>
      <c r="D51" s="74">
        <f>SUM(D17:D48)+D14</f>
        <v>54889</v>
      </c>
      <c r="E51" s="74">
        <f>SUM(E17:E48)+E14</f>
        <v>18480.13017635583</v>
      </c>
      <c r="F51" s="74">
        <f>SUM(F17:F48)+F14</f>
        <v>21659.66074359638</v>
      </c>
      <c r="G51" s="75">
        <f>SUM(G17:G48)+G14</f>
        <v>14749.209080047793</v>
      </c>
      <c r="H51" s="1"/>
      <c r="I51" s="1"/>
      <c r="J51" s="7"/>
      <c r="K51" s="7"/>
      <c r="L51" s="7"/>
      <c r="M51" s="8"/>
    </row>
    <row r="52" spans="1:13" ht="13.5" thickBot="1">
      <c r="A52" s="1"/>
      <c r="B52" s="16"/>
      <c r="C52" s="76" t="s">
        <v>39</v>
      </c>
      <c r="D52" s="125">
        <f>D51*2.2045855</f>
        <v>121007.4935095</v>
      </c>
      <c r="E52" s="125">
        <f>E51*2.2045855</f>
        <v>40741.0270249065</v>
      </c>
      <c r="F52" s="125">
        <f>F51*2.2045855</f>
        <v>47750.574010251796</v>
      </c>
      <c r="G52" s="126">
        <f>G51*2.2045855</f>
        <v>32515.8924743417</v>
      </c>
      <c r="H52" s="1"/>
      <c r="I52" s="1"/>
      <c r="J52" s="7"/>
      <c r="K52" s="7"/>
      <c r="L52" s="7"/>
      <c r="M52" s="8"/>
    </row>
    <row r="53" spans="1:13" ht="9.75" customHeight="1">
      <c r="A53" s="1"/>
      <c r="B53" s="21"/>
      <c r="C53" s="77" t="s">
        <v>86</v>
      </c>
      <c r="D53" s="78">
        <f>E51/2000</f>
        <v>9.240065088177914</v>
      </c>
      <c r="E53" s="127">
        <f aca="true" t="shared" si="7" ref="E53:E60">D53*2204.5855</f>
        <v>20370.513512453253</v>
      </c>
      <c r="F53" s="79" t="s">
        <v>40</v>
      </c>
      <c r="G53" s="22"/>
      <c r="H53" s="1"/>
      <c r="I53" s="1"/>
      <c r="J53" s="7"/>
      <c r="K53" s="7"/>
      <c r="L53" s="7"/>
      <c r="M53" s="8"/>
    </row>
    <row r="54" spans="1:13" ht="9.75" customHeight="1">
      <c r="A54" s="1"/>
      <c r="B54" s="10"/>
      <c r="C54" s="80" t="s">
        <v>41</v>
      </c>
      <c r="D54" s="81">
        <f>E51/2000</f>
        <v>9.240065088177914</v>
      </c>
      <c r="E54" s="128">
        <f t="shared" si="7"/>
        <v>20370.513512453253</v>
      </c>
      <c r="F54" s="82" t="s">
        <v>42</v>
      </c>
      <c r="G54" s="83">
        <v>2.54</v>
      </c>
      <c r="H54" s="1"/>
      <c r="I54" s="1"/>
      <c r="J54" s="7"/>
      <c r="K54" s="7"/>
      <c r="L54" s="7"/>
      <c r="M54" s="8"/>
    </row>
    <row r="55" spans="1:13" ht="9.75" customHeight="1">
      <c r="A55" s="1"/>
      <c r="B55" s="10"/>
      <c r="C55" s="80" t="s">
        <v>43</v>
      </c>
      <c r="D55" s="81">
        <f>F51/3000</f>
        <v>7.219886914532127</v>
      </c>
      <c r="E55" s="128">
        <f t="shared" si="7"/>
        <v>15916.858003417268</v>
      </c>
      <c r="F55" s="82" t="s">
        <v>44</v>
      </c>
      <c r="G55" s="83">
        <v>1.65</v>
      </c>
      <c r="H55" s="1"/>
      <c r="I55" s="1"/>
      <c r="J55" s="7"/>
      <c r="K55" s="7"/>
      <c r="L55" s="7"/>
      <c r="M55" s="8"/>
    </row>
    <row r="56" spans="1:13" ht="9.75" customHeight="1">
      <c r="A56" s="1"/>
      <c r="B56" s="10"/>
      <c r="C56" s="80" t="s">
        <v>45</v>
      </c>
      <c r="D56" s="81">
        <f>F51/3000</f>
        <v>7.219886914532127</v>
      </c>
      <c r="E56" s="128">
        <f t="shared" si="7"/>
        <v>15916.858003417268</v>
      </c>
      <c r="F56" s="82" t="s">
        <v>46</v>
      </c>
      <c r="G56" s="83">
        <v>2</v>
      </c>
      <c r="H56" s="1"/>
      <c r="I56" s="1"/>
      <c r="J56" s="7"/>
      <c r="K56" s="7"/>
      <c r="L56" s="7"/>
      <c r="M56" s="8"/>
    </row>
    <row r="57" spans="1:13" ht="9.75" customHeight="1">
      <c r="A57" s="1"/>
      <c r="B57" s="10"/>
      <c r="C57" s="80" t="s">
        <v>47</v>
      </c>
      <c r="D57" s="81">
        <f>F51/3000</f>
        <v>7.219886914532127</v>
      </c>
      <c r="E57" s="128">
        <f t="shared" si="7"/>
        <v>15916.858003417268</v>
      </c>
      <c r="F57" s="82" t="s">
        <v>48</v>
      </c>
      <c r="G57" s="83">
        <v>1.65</v>
      </c>
      <c r="H57" s="1"/>
      <c r="I57" s="1"/>
      <c r="J57" s="7"/>
      <c r="K57" s="7"/>
      <c r="L57" s="7"/>
      <c r="M57" s="8"/>
    </row>
    <row r="58" spans="1:13" ht="9.75" customHeight="1">
      <c r="A58" s="1"/>
      <c r="B58" s="10"/>
      <c r="C58" s="80" t="s">
        <v>49</v>
      </c>
      <c r="D58" s="81">
        <f>G51/3000</f>
        <v>4.916403026682597</v>
      </c>
      <c r="E58" s="128">
        <f t="shared" si="7"/>
        <v>10838.630824780568</v>
      </c>
      <c r="F58" s="82" t="s">
        <v>50</v>
      </c>
      <c r="G58" s="83">
        <f>E78-DMAFA-1.8-(G59)</f>
        <v>4.319700000000001</v>
      </c>
      <c r="H58" s="1"/>
      <c r="I58" s="1"/>
      <c r="J58" s="7"/>
      <c r="K58" s="7"/>
      <c r="L58" s="7"/>
      <c r="M58" s="8"/>
    </row>
    <row r="59" spans="1:13" ht="9.75" customHeight="1">
      <c r="A59" s="1"/>
      <c r="B59" s="10"/>
      <c r="C59" s="80" t="s">
        <v>51</v>
      </c>
      <c r="D59" s="81">
        <f>G51/3000</f>
        <v>4.916403026682597</v>
      </c>
      <c r="E59" s="128">
        <f t="shared" si="7"/>
        <v>10838.630824780568</v>
      </c>
      <c r="F59" s="82" t="s">
        <v>52</v>
      </c>
      <c r="G59" s="84">
        <v>1.3843</v>
      </c>
      <c r="H59" s="1"/>
      <c r="I59" s="1"/>
      <c r="J59" s="7"/>
      <c r="K59" s="7"/>
      <c r="L59" s="7"/>
      <c r="M59" s="8"/>
    </row>
    <row r="60" spans="1:13" ht="9.75" customHeight="1" thickBot="1">
      <c r="A60" s="1"/>
      <c r="B60" s="16"/>
      <c r="C60" s="85" t="s">
        <v>99</v>
      </c>
      <c r="D60" s="132">
        <f>G51/3000</f>
        <v>4.916403026682597</v>
      </c>
      <c r="E60" s="125">
        <f t="shared" si="7"/>
        <v>10838.630824780568</v>
      </c>
      <c r="F60" s="133" t="s">
        <v>100</v>
      </c>
      <c r="G60" s="134">
        <v>1.3843</v>
      </c>
      <c r="H60" s="1"/>
      <c r="I60" s="1"/>
      <c r="J60" s="7"/>
      <c r="K60" s="7"/>
      <c r="L60" s="7"/>
      <c r="M60" s="8"/>
    </row>
    <row r="61" spans="1:13" ht="9.75" customHeight="1">
      <c r="A61" s="1"/>
      <c r="B61" s="1"/>
      <c r="C61" s="1" t="s">
        <v>0</v>
      </c>
      <c r="D61" s="1"/>
      <c r="E61" s="1"/>
      <c r="F61" s="1"/>
      <c r="G61" s="1"/>
      <c r="H61" s="1"/>
      <c r="I61" s="1"/>
      <c r="J61" s="7"/>
      <c r="K61" s="7"/>
      <c r="L61" s="7"/>
      <c r="M61" s="8"/>
    </row>
    <row r="62" spans="1:13" ht="9.75" customHeight="1">
      <c r="A62" s="1"/>
      <c r="B62" s="1"/>
      <c r="C62" s="1"/>
      <c r="D62" s="1"/>
      <c r="E62" s="1"/>
      <c r="F62" s="1" t="s">
        <v>53</v>
      </c>
      <c r="G62" s="1"/>
      <c r="H62" s="1"/>
      <c r="I62" s="1"/>
      <c r="J62" s="7"/>
      <c r="K62" s="7"/>
      <c r="L62" s="7"/>
      <c r="M62" s="8"/>
    </row>
    <row r="63" spans="1:13" ht="9.75" customHeight="1">
      <c r="A63" s="1"/>
      <c r="B63" s="1"/>
      <c r="C63" s="1" t="s">
        <v>54</v>
      </c>
      <c r="D63" s="1"/>
      <c r="E63" s="1"/>
      <c r="F63" s="1" t="s">
        <v>55</v>
      </c>
      <c r="G63" s="1" t="s">
        <v>56</v>
      </c>
      <c r="H63" s="1"/>
      <c r="I63" s="1"/>
      <c r="J63" s="7"/>
      <c r="K63" s="7"/>
      <c r="L63" s="7"/>
      <c r="M63" s="8"/>
    </row>
    <row r="64" spans="1:13" ht="9.75" customHeight="1">
      <c r="A64" s="1"/>
      <c r="B64" s="1"/>
      <c r="C64" s="86" t="s">
        <v>57</v>
      </c>
      <c r="D64" s="87">
        <f>D53+D54</f>
        <v>18.48013017635583</v>
      </c>
      <c r="E64" s="1">
        <f aca="true" t="shared" si="8" ref="E64:E72">IF(D64&gt;F64,"----------&gt;&gt;","")</f>
      </c>
      <c r="F64" s="87">
        <f>G54*3+15+(E81-2.5)*10</f>
        <v>27.62</v>
      </c>
      <c r="G64" s="87">
        <f>G54*3+18</f>
        <v>25.62</v>
      </c>
      <c r="H64" s="1">
        <f aca="true" t="shared" si="9" ref="H64:H72">IF(D64&gt;G64,"&lt;&lt;----","")</f>
      </c>
      <c r="I64" s="1"/>
      <c r="J64" s="7"/>
      <c r="K64" s="7"/>
      <c r="L64" s="7"/>
      <c r="M64" s="8"/>
    </row>
    <row r="65" spans="1:13" ht="9.75" customHeight="1">
      <c r="A65" s="1"/>
      <c r="B65" s="1"/>
      <c r="C65" s="86" t="s">
        <v>58</v>
      </c>
      <c r="D65" s="87">
        <f>SUM(D53:D55)</f>
        <v>25.700017090887954</v>
      </c>
      <c r="E65" s="1">
        <f t="shared" si="8"/>
      </c>
      <c r="F65" s="87">
        <f>(SUM(G54:G55))*3+15+(E81-2.5)*10</f>
        <v>32.57</v>
      </c>
      <c r="G65" s="87">
        <f>SUM(G54:G55)*3+18</f>
        <v>30.57</v>
      </c>
      <c r="H65" s="1">
        <f t="shared" si="9"/>
      </c>
      <c r="I65" s="1"/>
      <c r="J65" s="7"/>
      <c r="K65" s="7"/>
      <c r="L65" s="7"/>
      <c r="M65" s="8"/>
    </row>
    <row r="66" spans="1:13" ht="9.75" customHeight="1">
      <c r="A66" s="1"/>
      <c r="B66" s="1"/>
      <c r="C66" s="86" t="s">
        <v>59</v>
      </c>
      <c r="D66" s="87">
        <f>SUM(D53:D57)</f>
        <v>40.139790919952205</v>
      </c>
      <c r="E66" s="1">
        <f t="shared" si="8"/>
      </c>
      <c r="F66" s="87">
        <f>(SUM(G54:G57))*3+15+(E81-2.5)*10</f>
        <v>43.519999999999996</v>
      </c>
      <c r="G66" s="87">
        <f>SUM(G54:G57)*3+18</f>
        <v>41.519999999999996</v>
      </c>
      <c r="H66" s="1">
        <f t="shared" si="9"/>
      </c>
      <c r="I66" s="1"/>
      <c r="J66" s="7"/>
      <c r="K66" s="7"/>
      <c r="L66" s="7"/>
      <c r="M66" s="8"/>
    </row>
    <row r="67" spans="1:13" ht="9.75" customHeight="1">
      <c r="A67" s="1"/>
      <c r="B67" s="1"/>
      <c r="C67" s="86" t="s">
        <v>60</v>
      </c>
      <c r="D67" s="87">
        <f>SUM(D53:D59)</f>
        <v>49.972596973317394</v>
      </c>
      <c r="E67" s="1">
        <f t="shared" si="8"/>
      </c>
      <c r="F67" s="87">
        <f>(SUM(G54:G59))*3+15+(E81-2.5)*10</f>
        <v>60.632000000000005</v>
      </c>
      <c r="G67" s="87">
        <f>SUM(G54:G59)*3+18</f>
        <v>58.632000000000005</v>
      </c>
      <c r="H67" s="1">
        <f t="shared" si="9"/>
      </c>
      <c r="I67" s="1"/>
      <c r="J67" s="7"/>
      <c r="K67" s="7"/>
      <c r="L67" s="7"/>
      <c r="M67" s="8"/>
    </row>
    <row r="68" spans="1:13" ht="9.75" customHeight="1">
      <c r="A68" s="1"/>
      <c r="B68" s="1"/>
      <c r="C68" s="86" t="s">
        <v>61</v>
      </c>
      <c r="D68" s="87">
        <f>SUM(D54:D57)</f>
        <v>30.89972583177429</v>
      </c>
      <c r="E68" s="1">
        <f t="shared" si="8"/>
      </c>
      <c r="F68" s="87">
        <f>(SUM(G55:G57)*3+15+(E81-2.5)*10)</f>
        <v>35.9</v>
      </c>
      <c r="G68" s="87">
        <f>SUM(G55:G57)*3+18</f>
        <v>33.9</v>
      </c>
      <c r="H68" s="1">
        <f t="shared" si="9"/>
      </c>
      <c r="I68" s="1"/>
      <c r="J68" s="7"/>
      <c r="K68" s="7"/>
      <c r="L68" s="7"/>
      <c r="M68" s="8"/>
    </row>
    <row r="69" spans="1:13" ht="9.75" customHeight="1">
      <c r="A69" s="1"/>
      <c r="B69" s="1"/>
      <c r="C69" s="86" t="s">
        <v>62</v>
      </c>
      <c r="D69" s="87">
        <f>SUM(D54:D59)</f>
        <v>40.73253188513948</v>
      </c>
      <c r="E69" s="1">
        <f t="shared" si="8"/>
      </c>
      <c r="F69" s="87">
        <f>(SUM(G55:G59))*3+15+(E81-2.5)*10</f>
        <v>53.012</v>
      </c>
      <c r="G69" s="87">
        <f>SUM(G55:G59)*3+18</f>
        <v>51.012</v>
      </c>
      <c r="H69" s="1">
        <f t="shared" si="9"/>
      </c>
      <c r="I69" s="1"/>
      <c r="J69" s="7"/>
      <c r="K69" s="7"/>
      <c r="L69" s="7"/>
      <c r="M69" s="8"/>
    </row>
    <row r="70" spans="1:13" ht="9.75" customHeight="1">
      <c r="A70" s="1"/>
      <c r="B70" s="1"/>
      <c r="C70" s="86" t="s">
        <v>63</v>
      </c>
      <c r="D70" s="87">
        <f>SUM(D56:D57)</f>
        <v>14.439773829064254</v>
      </c>
      <c r="E70" s="1">
        <f t="shared" si="8"/>
      </c>
      <c r="F70" s="87">
        <f>G57*3+15+(E81-2.5)*10</f>
        <v>24.95</v>
      </c>
      <c r="G70" s="87">
        <f>G57*3+18</f>
        <v>22.95</v>
      </c>
      <c r="H70" s="1">
        <f t="shared" si="9"/>
      </c>
      <c r="I70" s="1"/>
      <c r="J70" s="7"/>
      <c r="K70" s="7"/>
      <c r="L70" s="7"/>
      <c r="M70" s="8"/>
    </row>
    <row r="71" spans="1:13" ht="9.75" customHeight="1">
      <c r="A71" s="1"/>
      <c r="B71" s="1"/>
      <c r="C71" s="86" t="s">
        <v>64</v>
      </c>
      <c r="D71" s="87">
        <f>SUM(D56:D59)</f>
        <v>24.27257988242945</v>
      </c>
      <c r="E71" s="1">
        <f t="shared" si="8"/>
      </c>
      <c r="F71" s="87">
        <f>SUM(G57:G59)*3+15+(E81-2.5)*10</f>
        <v>42.062000000000005</v>
      </c>
      <c r="G71" s="87">
        <f>SUM(G57:G59)*3+18</f>
        <v>40.062000000000005</v>
      </c>
      <c r="H71" s="1">
        <f t="shared" si="9"/>
      </c>
      <c r="I71" s="1"/>
      <c r="J71" s="7"/>
      <c r="K71" s="7"/>
      <c r="L71" s="7"/>
      <c r="M71" s="8"/>
    </row>
    <row r="72" spans="1:13" ht="9.75" customHeight="1">
      <c r="A72" s="1"/>
      <c r="B72" s="1"/>
      <c r="C72" s="86" t="s">
        <v>65</v>
      </c>
      <c r="D72" s="87">
        <f>SUM(D58:D59)</f>
        <v>9.832806053365195</v>
      </c>
      <c r="E72" s="1">
        <f t="shared" si="8"/>
      </c>
      <c r="F72" s="87">
        <f>(G59*3+15)+(E81-2.5)*10</f>
        <v>24.152900000000002</v>
      </c>
      <c r="G72" s="87">
        <f>G59*3+18</f>
        <v>22.152900000000002</v>
      </c>
      <c r="H72" s="1">
        <f t="shared" si="9"/>
      </c>
      <c r="I72" s="1"/>
      <c r="J72" s="7"/>
      <c r="K72" s="7"/>
      <c r="L72" s="7"/>
      <c r="M72" s="8"/>
    </row>
    <row r="73" spans="1:13" ht="9.75" customHeight="1" thickBot="1">
      <c r="A73" s="1"/>
      <c r="B73" s="1"/>
      <c r="C73" s="1" t="s">
        <v>0</v>
      </c>
      <c r="D73" s="1"/>
      <c r="E73" s="1"/>
      <c r="F73" s="1"/>
      <c r="G73" s="1"/>
      <c r="H73" s="1"/>
      <c r="I73" s="1"/>
      <c r="J73" s="7"/>
      <c r="K73" s="7"/>
      <c r="L73" s="7"/>
      <c r="M73" s="8"/>
    </row>
    <row r="74" spans="1:13" ht="9.75" customHeight="1">
      <c r="A74" s="1"/>
      <c r="B74" s="1"/>
      <c r="C74" s="21" t="s">
        <v>66</v>
      </c>
      <c r="D74" s="3" t="s">
        <v>67</v>
      </c>
      <c r="E74" s="88">
        <v>22.786</v>
      </c>
      <c r="F74" s="89">
        <v>2.3382</v>
      </c>
      <c r="G74" s="22" t="s">
        <v>68</v>
      </c>
      <c r="H74" s="90">
        <f>E76-H75</f>
        <v>5.502275985663081</v>
      </c>
      <c r="I74" s="99"/>
      <c r="J74" s="7"/>
      <c r="K74" s="7"/>
      <c r="L74" s="7"/>
      <c r="M74" s="8"/>
    </row>
    <row r="75" spans="1:13" ht="9.75" customHeight="1">
      <c r="A75" s="1"/>
      <c r="B75" s="1"/>
      <c r="C75" s="10" t="s">
        <v>69</v>
      </c>
      <c r="D75" s="1" t="s">
        <v>67</v>
      </c>
      <c r="E75" s="87">
        <v>8.892</v>
      </c>
      <c r="F75" s="91">
        <v>1.3945</v>
      </c>
      <c r="G75" s="33" t="s">
        <v>70</v>
      </c>
      <c r="H75" s="92">
        <f>E76*F76/E78</f>
        <v>8.98772401433692</v>
      </c>
      <c r="I75" s="99"/>
      <c r="J75" s="7"/>
      <c r="K75" s="7"/>
      <c r="L75" s="7"/>
      <c r="M75" s="8"/>
    </row>
    <row r="76" spans="1:13" ht="9.75" customHeight="1">
      <c r="A76" s="1"/>
      <c r="B76" s="1"/>
      <c r="C76" s="10" t="s">
        <v>71</v>
      </c>
      <c r="D76" s="1" t="s">
        <v>67</v>
      </c>
      <c r="E76" s="87">
        <v>14.49</v>
      </c>
      <c r="F76" s="91">
        <v>6.23</v>
      </c>
      <c r="G76" s="33"/>
      <c r="H76" s="33"/>
      <c r="I76" s="32"/>
      <c r="J76" s="7"/>
      <c r="K76" s="7"/>
      <c r="L76" s="7"/>
      <c r="M76" s="101"/>
    </row>
    <row r="77" spans="1:13" ht="9.75" customHeight="1">
      <c r="A77" s="1"/>
      <c r="B77" s="1"/>
      <c r="C77" s="10" t="s">
        <v>72</v>
      </c>
      <c r="D77" s="1" t="s">
        <v>73</v>
      </c>
      <c r="E77" s="93">
        <v>4.128</v>
      </c>
      <c r="F77" s="91"/>
      <c r="G77" s="33"/>
      <c r="H77" s="33"/>
      <c r="I77" s="99"/>
      <c r="J77" s="7"/>
      <c r="K77" s="7"/>
      <c r="L77" s="7"/>
      <c r="M77" s="8"/>
    </row>
    <row r="78" spans="1:13" ht="9.75" customHeight="1">
      <c r="A78" s="1"/>
      <c r="B78" s="1"/>
      <c r="C78" s="10" t="s">
        <v>74</v>
      </c>
      <c r="D78" s="1" t="s">
        <v>75</v>
      </c>
      <c r="E78" s="94">
        <v>10.044</v>
      </c>
      <c r="F78" s="95" t="s">
        <v>76</v>
      </c>
      <c r="G78" s="33" t="s">
        <v>77</v>
      </c>
      <c r="H78" s="92">
        <f>E74+E75+H74</f>
        <v>37.18027598566308</v>
      </c>
      <c r="I78" s="99"/>
      <c r="J78" s="7"/>
      <c r="K78" s="7"/>
      <c r="L78" s="7"/>
      <c r="M78" s="135" t="s">
        <v>109</v>
      </c>
    </row>
    <row r="79" spans="1:13" ht="9.75" customHeight="1">
      <c r="A79" s="1"/>
      <c r="B79" s="1"/>
      <c r="C79" s="10" t="s">
        <v>78</v>
      </c>
      <c r="D79" s="1" t="s">
        <v>75</v>
      </c>
      <c r="E79" s="91">
        <v>2.54</v>
      </c>
      <c r="F79" s="91"/>
      <c r="G79" s="33" t="s">
        <v>79</v>
      </c>
      <c r="H79" s="92">
        <f>(E74*F74+E75*F75+H74*DMAFA)/H78</f>
        <v>2.142369793981605</v>
      </c>
      <c r="I79" s="99"/>
      <c r="J79" s="7"/>
      <c r="K79" s="7"/>
      <c r="L79" s="7"/>
      <c r="M79" s="8"/>
    </row>
    <row r="80" spans="1:13" ht="9.75" customHeight="1">
      <c r="A80" s="1"/>
      <c r="B80" s="1"/>
      <c r="C80" s="10" t="s">
        <v>80</v>
      </c>
      <c r="D80" s="1" t="s">
        <v>75</v>
      </c>
      <c r="E80" s="91">
        <v>12.9</v>
      </c>
      <c r="F80" s="91"/>
      <c r="G80" s="33"/>
      <c r="H80" s="33"/>
      <c r="I80" s="32"/>
      <c r="J80" s="7"/>
      <c r="K80" s="7"/>
      <c r="L80" s="7"/>
      <c r="M80" s="8"/>
    </row>
    <row r="81" spans="1:13" ht="9.75" customHeight="1" thickBot="1">
      <c r="A81" s="1"/>
      <c r="B81" s="1"/>
      <c r="C81" s="16" t="s">
        <v>81</v>
      </c>
      <c r="D81" s="17" t="s">
        <v>75</v>
      </c>
      <c r="E81" s="96">
        <v>3</v>
      </c>
      <c r="F81" s="97"/>
      <c r="G81" s="50"/>
      <c r="H81" s="50"/>
      <c r="I81" s="32"/>
      <c r="J81" s="7"/>
      <c r="K81" s="7"/>
      <c r="L81" s="7"/>
      <c r="M81" s="8"/>
    </row>
    <row r="82" spans="1:13" ht="12.75">
      <c r="A82" s="7"/>
      <c r="B82" s="7"/>
      <c r="C82" s="7" t="s">
        <v>0</v>
      </c>
      <c r="D82" s="7"/>
      <c r="E82" s="7"/>
      <c r="F82" s="7"/>
      <c r="G82" s="7"/>
      <c r="H82" s="7"/>
      <c r="I82" s="7"/>
      <c r="J82" s="7"/>
      <c r="K82" s="7"/>
      <c r="L82" s="7"/>
      <c r="M82" s="8"/>
    </row>
  </sheetData>
  <mergeCells count="2">
    <mergeCell ref="D6:E6"/>
    <mergeCell ref="F6:G6"/>
  </mergeCells>
  <printOptions/>
  <pageMargins left="0.6" right="0.25" top="1" bottom="1" header="0.41" footer="0.5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Grove US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GMK5110-1/5135 weight sheet 3 axle boom dolly (XLS)</dc:title>
  <dc:subject/>
  <dc:creator>ca13805</dc:creator>
  <cp:keywords/>
  <dc:description/>
  <cp:lastModifiedBy>ca13805</cp:lastModifiedBy>
  <cp:lastPrinted>2009-01-07T16:52:39Z</cp:lastPrinted>
  <dcterms:created xsi:type="dcterms:W3CDTF">2008-02-22T19:40:53Z</dcterms:created>
  <dcterms:modified xsi:type="dcterms:W3CDTF">2009-03-05T21:47:40Z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-1461215537</vt:i4>
  </property>
  <property fmtid="{D5CDD505-2E9C-101B-9397-08002B2CF9AE}" pid="3" name="_NewReviewCycle">
    <vt:lpwstr/>
  </property>
  <property fmtid="{D5CDD505-2E9C-101B-9397-08002B2CF9AE}" pid="4" name="_EmailSubject">
    <vt:lpwstr>Format Achslasttabellen</vt:lpwstr>
  </property>
  <property fmtid="{D5CDD505-2E9C-101B-9397-08002B2CF9AE}" pid="5" name="_AuthorEmail">
    <vt:lpwstr>Eckhard.Meisner@manitowoc.com</vt:lpwstr>
  </property>
  <property fmtid="{D5CDD505-2E9C-101B-9397-08002B2CF9AE}" pid="6" name="_AuthorEmailDisplayName">
    <vt:lpwstr>MEISNER, ECKHARD</vt:lpwstr>
  </property>
  <property fmtid="{D5CDD505-2E9C-101B-9397-08002B2CF9AE}" pid="7" name="_ReviewingToolsShownOnce">
    <vt:lpwstr/>
  </property>
  <property fmtid="{D5CDD505-2E9C-101B-9397-08002B2CF9AE}" pid="8" name="Active">
    <vt:lpwstr>1</vt:lpwstr>
  </property>
  <property fmtid="{D5CDD505-2E9C-101B-9397-08002B2CF9AE}" pid="9" name="Sortorder">
    <vt:lpwstr>18.0000000000000</vt:lpwstr>
  </property>
  <property fmtid="{D5CDD505-2E9C-101B-9397-08002B2CF9AE}" pid="10" name="ContentType">
    <vt:lpwstr>Document</vt:lpwstr>
  </property>
  <property fmtid="{D5CDD505-2E9C-101B-9397-08002B2CF9AE}" pid="11" name="Product">
    <vt:lpwstr>;#All Terrain (GMK);#</vt:lpwstr>
  </property>
</Properties>
</file>