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GMK 4100 4115 - 3 axle dolly" sheetId="1" r:id="rId1"/>
  </sheets>
  <definedNames/>
  <calcPr fullCalcOnLoad="1"/>
</workbook>
</file>

<file path=xl/sharedStrings.xml><?xml version="1.0" encoding="utf-8"?>
<sst xmlns="http://schemas.openxmlformats.org/spreadsheetml/2006/main" count="137" uniqueCount="106">
  <si>
    <t xml:space="preserve"> </t>
  </si>
  <si>
    <t>file:</t>
  </si>
  <si>
    <t>updated:</t>
  </si>
  <si>
    <t>date:</t>
  </si>
  <si>
    <t>dept:</t>
  </si>
  <si>
    <t>For information only!</t>
  </si>
  <si>
    <t>excluding all parts as shown below</t>
  </si>
  <si>
    <t>total</t>
  </si>
  <si>
    <t>2 front-</t>
  </si>
  <si>
    <t>2 rear-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</si>
  <si>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</si>
  <si>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</si>
  <si>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</si>
  <si>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</si>
  <si>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</si>
  <si>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</si>
  <si>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</si>
  <si>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8 * 8 * 8 drive/steer</t>
  </si>
  <si>
    <t>aux. hoist</t>
  </si>
  <si>
    <t>brackets for swingaway</t>
  </si>
  <si>
    <t>2nd oil cooler on superstructure</t>
  </si>
  <si>
    <t>add. weight for tyres 16.00 R25 XGC</t>
  </si>
  <si>
    <t>add. weight for tyres 20.5 R 25 XGC</t>
  </si>
  <si>
    <t>spare wheel 14.00 R25 XGC on dolly</t>
  </si>
  <si>
    <t>spare wheel 16.00 R25 XGC on dolly</t>
  </si>
  <si>
    <t>spare wheel 20.5 R25 XGC on dolly</t>
  </si>
  <si>
    <t>remove outriggers in front</t>
  </si>
  <si>
    <t>remove outriggers at the rear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</si>
  <si>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</si>
  <si>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</si>
  <si>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</si>
  <si>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</si>
  <si>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</si>
  <si>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</si>
  <si>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Axle loads in ( t ):                          1. axle: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</si>
  <si>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</si>
  <si>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</si>
  <si>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</si>
  <si>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</si>
  <si>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</si>
  <si>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</si>
  <si>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</si>
  <si>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</si>
  <si>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</si>
  <si>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</si>
  <si>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</si>
  <si>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</si>
  <si>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</si>
  <si>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</si>
  <si>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</si>
  <si>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</si>
  <si>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</si>
  <si>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1.-4. axle:</t>
  </si>
  <si>
    <t xml:space="preserve">  1.-6. axle:</t>
  </si>
  <si>
    <t xml:space="preserve">  2.-4. axle:</t>
  </si>
  <si>
    <t xml:space="preserve">  2.-6. axle:</t>
  </si>
  <si>
    <t xml:space="preserve">  3.-4. axle:</t>
  </si>
  <si>
    <t xml:space="preserve">  3.-6. axle:</t>
  </si>
  <si>
    <t xml:space="preserve">  5.-6. axle:</t>
  </si>
  <si>
    <t>Fahrgestell 8*6*8</t>
  </si>
  <si>
    <t xml:space="preserve">     G * Xs</t>
  </si>
  <si>
    <t xml:space="preserve">      G Afa</t>
  </si>
  <si>
    <t xml:space="preserve">    G Dolly</t>
  </si>
  <si>
    <t>Ausleger mit Anteil W- Zyl.</t>
  </si>
  <si>
    <t xml:space="preserve">        G</t>
  </si>
  <si>
    <t xml:space="preserve">        m</t>
  </si>
  <si>
    <t>Zugfz.   G</t>
  </si>
  <si>
    <t>Abstand Drehm. bis Afa</t>
  </si>
  <si>
    <t>Zugfz.  Xs</t>
  </si>
  <si>
    <t>Auslegerlänge</t>
  </si>
  <si>
    <t>Kranbreite</t>
  </si>
  <si>
    <t>fixed counterweight 0,5 t in lieu of aux. hoist</t>
  </si>
  <si>
    <t>.. t extending force (max. 20 t)</t>
  </si>
  <si>
    <t>retracting force ( max. 11 t)</t>
  </si>
  <si>
    <t>Drehtisch mit Anteil W- Zyl., GG-Platte 1 t u. GG- Hubzyl.</t>
  </si>
  <si>
    <t>hose reel for swingaway</t>
  </si>
  <si>
    <t>...... t counterweight</t>
  </si>
  <si>
    <t>O/R pads on jack- cylinders (plastic)</t>
  </si>
  <si>
    <t>O/R pads on dolly (plastic)</t>
  </si>
  <si>
    <t>50- t- hook block on dolly</t>
  </si>
  <si>
    <t>fixed counterweight 3,5 t on turntable</t>
  </si>
  <si>
    <t>(6,0 - 10,0 m)</t>
  </si>
  <si>
    <t>hydraulic swingaway 10 to 17 m (32,8 to 55,8 ft)</t>
  </si>
  <si>
    <t>mechanic swingaway 10 to 17 m (32,8 to 55,8 ft)</t>
  </si>
  <si>
    <t>4100_2B</t>
  </si>
  <si>
    <t>TK - Si</t>
  </si>
  <si>
    <t>add. weight for decking 20.5" tires</t>
  </si>
  <si>
    <t>lb.</t>
  </si>
  <si>
    <t>ft.</t>
  </si>
  <si>
    <r>
      <t xml:space="preserve">Axle Loads GMK 4100 / </t>
    </r>
    <r>
      <rPr>
        <b/>
        <sz val="8"/>
        <color indexed="10"/>
        <rFont val="Arial"/>
        <family val="2"/>
      </rPr>
      <t>4115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</si>
  <si>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Standard</t>
  </si>
  <si>
    <r>
      <t>Standard unit</t>
    </r>
    <r>
      <rPr>
        <sz val="8"/>
        <rFont val="Arial"/>
        <family val="2"/>
      </rPr>
      <t xml:space="preserve"> with tyres 14.00 R25 XGC on steel wheels; 8 * 6 * 8; with driver; tanks filled</t>
    </r>
  </si>
  <si>
    <t>Distance from boom pivot pin to centre of dolly (m):</t>
  </si>
  <si>
    <t xml:space="preserve">                                                          </t>
  </si>
  <si>
    <t>Weight of boom dolly (t):</t>
  </si>
  <si>
    <t>weight</t>
  </si>
  <si>
    <t>axles</t>
  </si>
  <si>
    <t>(lbs)</t>
  </si>
  <si>
    <r>
      <t xml:space="preserve">Auflage ab Afa </t>
    </r>
    <r>
      <rPr>
        <sz val="8"/>
        <color indexed="10"/>
        <rFont val="Arial"/>
        <family val="2"/>
      </rPr>
      <t>(CL of Boom Pivot to CL of Dolly)</t>
    </r>
  </si>
  <si>
    <r>
      <t xml:space="preserve">2- achs- Nachläufer </t>
    </r>
    <r>
      <rPr>
        <sz val="8"/>
        <color indexed="10"/>
        <rFont val="Arial"/>
        <family val="2"/>
      </rPr>
      <t>(Boom Dolly Weight)</t>
    </r>
  </si>
  <si>
    <t>with 3- Axle boom dolly</t>
  </si>
  <si>
    <t>3 dolly-</t>
  </si>
  <si>
    <t>7. axle:</t>
  </si>
  <si>
    <t>axle 6 - 7:</t>
  </si>
  <si>
    <t>Drawing 080312</t>
  </si>
  <si>
    <t>Nelson CBC-30S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</si>
</sst>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E+00"/>
    <numFmt numFmtId="181" formatCode="#,##0.00&quot;DM&quot;;\(#,##0.00&quot;DM&quot;\)"/>
    <numFmt numFmtId="182" formatCode="#,##0&quot;DM&quot;;\(#,##0&quot;DM&quot;\)"/>
    <numFmt numFmtId="183" formatCode="d\.m\.yy"/>
    <numFmt numFmtId="184" formatCode="d\.m"/>
    <numFmt numFmtId="185" formatCode="d\.mmm\ yy"/>
    <numFmt numFmtId="186" formatCode="d\.mmm"/>
    <numFmt numFmtId="187" formatCode="d\.m\.yy\ h:mm"/>
    <numFmt numFmtId="188" formatCode="0.0"/>
    <numFmt numFmtId="189" formatCode="0.000"/>
    <numFmt numFmtId="190" formatCode="[$-409]dddd\,\ mmmm\ dd\,\ yyyy"/>
    <numFmt numFmtId="191" formatCode="[$-409]h:mm:ss\ AM/PM"/>
    <numFmt numFmtId="192" formatCode="[$-407]d/\ mmm/\ yy;@"/>
    <numFmt numFmtId="193" formatCode="mm/dd/yyyy"/>
    <numFmt numFmtId="194" formatCode="0.0000000"/>
    <numFmt numFmtId="195" formatCode="0.000000"/>
    <numFmt numFmtId="196" formatCode="0.00000"/>
    <numFmt numFmtId="197" formatCode="0.0000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sz val="8"/>
      <name val="System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2" borderId="0" xfId="0" applyNumberFormat="1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right"/>
      <protection/>
    </xf>
    <xf numFmtId="0" fontId="6" fillId="2" borderId="2" xfId="0" applyNumberFormat="1" applyFont="1" applyFill="1" applyBorder="1" applyAlignment="1" applyProtection="1">
      <alignment horizontal="left"/>
      <protection/>
    </xf>
    <xf numFmtId="0" fontId="6" fillId="2" borderId="3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6" fillId="2" borderId="4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 applyProtection="1">
      <alignment horizontal="right"/>
      <protection/>
    </xf>
    <xf numFmtId="192" fontId="6" fillId="2" borderId="0" xfId="0" applyNumberFormat="1" applyFont="1" applyFill="1" applyBorder="1" applyAlignment="1" applyProtection="1">
      <alignment horizontal="left"/>
      <protection/>
    </xf>
    <xf numFmtId="193" fontId="6" fillId="2" borderId="5" xfId="0" applyNumberFormat="1" applyFont="1" applyFill="1" applyBorder="1" applyAlignment="1" applyProtection="1">
      <alignment/>
      <protection/>
    </xf>
    <xf numFmtId="14" fontId="6" fillId="2" borderId="0" xfId="0" applyNumberFormat="1" applyFont="1" applyFill="1" applyAlignment="1" applyProtection="1">
      <alignment horizontal="right"/>
      <protection/>
    </xf>
    <xf numFmtId="14" fontId="6" fillId="2" borderId="5" xfId="0" applyNumberFormat="1" applyFont="1" applyFill="1" applyBorder="1" applyAlignment="1" applyProtection="1">
      <alignment horizontal="right"/>
      <protection/>
    </xf>
    <xf numFmtId="0" fontId="6" fillId="2" borderId="6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 horizontal="right"/>
      <protection/>
    </xf>
    <xf numFmtId="0" fontId="6" fillId="2" borderId="7" xfId="0" applyNumberFormat="1" applyFont="1" applyFill="1" applyBorder="1" applyAlignment="1" applyProtection="1">
      <alignment horizontal="left"/>
      <protection/>
    </xf>
    <xf numFmtId="0" fontId="6" fillId="2" borderId="8" xfId="0" applyNumberFormat="1" applyFont="1" applyFill="1" applyBorder="1" applyAlignment="1" applyProtection="1">
      <alignment horizontal="right"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6" fillId="2" borderId="5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189" fontId="8" fillId="2" borderId="0" xfId="0" applyNumberFormat="1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 quotePrefix="1">
      <alignment horizontal="left"/>
      <protection/>
    </xf>
    <xf numFmtId="0" fontId="6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6" fillId="2" borderId="9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center"/>
      <protection/>
    </xf>
    <xf numFmtId="0" fontId="6" fillId="2" borderId="10" xfId="0" applyNumberFormat="1" applyFont="1" applyFill="1" applyBorder="1" applyAlignment="1" applyProtection="1">
      <alignment horizontal="center"/>
      <protection/>
    </xf>
    <xf numFmtId="0" fontId="6" fillId="2" borderId="11" xfId="0" applyNumberFormat="1" applyFont="1" applyFill="1" applyBorder="1" applyAlignment="1" applyProtection="1">
      <alignment horizontal="center"/>
      <protection/>
    </xf>
    <xf numFmtId="0" fontId="6" fillId="2" borderId="12" xfId="0" applyNumberFormat="1" applyFont="1" applyFill="1" applyBorder="1" applyAlignment="1" applyProtection="1">
      <alignment horizontal="center"/>
      <protection/>
    </xf>
    <xf numFmtId="0" fontId="6" fillId="2" borderId="13" xfId="0" applyNumberFormat="1" applyFont="1" applyFill="1" applyBorder="1" applyAlignment="1" applyProtection="1">
      <alignment horizontal="center"/>
      <protection/>
    </xf>
    <xf numFmtId="0" fontId="6" fillId="2" borderId="14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 quotePrefix="1">
      <alignment horizontal="left"/>
      <protection/>
    </xf>
    <xf numFmtId="1" fontId="8" fillId="2" borderId="9" xfId="0" applyNumberFormat="1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1" fontId="8" fillId="2" borderId="5" xfId="0" applyNumberFormat="1" applyFont="1" applyFill="1" applyBorder="1" applyAlignment="1" applyProtection="1">
      <alignment horizontal="center"/>
      <protection/>
    </xf>
    <xf numFmtId="3" fontId="9" fillId="2" borderId="9" xfId="0" applyNumberFormat="1" applyFont="1" applyFill="1" applyBorder="1" applyAlignment="1" applyProtection="1">
      <alignment horizontal="center"/>
      <protection/>
    </xf>
    <xf numFmtId="3" fontId="9" fillId="2" borderId="14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7" xfId="0" applyNumberFormat="1" applyFont="1" applyFill="1" applyBorder="1" applyAlignment="1" applyProtection="1" quotePrefix="1">
      <alignment horizontal="left"/>
      <protection/>
    </xf>
    <xf numFmtId="0" fontId="6" fillId="2" borderId="15" xfId="0" applyNumberFormat="1" applyFont="1" applyFill="1" applyBorder="1" applyAlignment="1" applyProtection="1">
      <alignment/>
      <protection/>
    </xf>
    <xf numFmtId="0" fontId="6" fillId="2" borderId="8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/>
      <protection/>
    </xf>
    <xf numFmtId="0" fontId="6" fillId="3" borderId="16" xfId="0" applyNumberFormat="1" applyFont="1" applyFill="1" applyBorder="1" applyAlignment="1" applyProtection="1">
      <alignment/>
      <protection locked="0"/>
    </xf>
    <xf numFmtId="0" fontId="6" fillId="2" borderId="17" xfId="0" applyNumberFormat="1" applyFont="1" applyFill="1" applyBorder="1" applyAlignment="1" applyProtection="1">
      <alignment/>
      <protection/>
    </xf>
    <xf numFmtId="1" fontId="6" fillId="2" borderId="18" xfId="0" applyNumberFormat="1" applyFont="1" applyFill="1" applyBorder="1" applyAlignment="1" applyProtection="1">
      <alignment/>
      <protection/>
    </xf>
    <xf numFmtId="1" fontId="6" fillId="2" borderId="17" xfId="0" applyNumberFormat="1" applyFont="1" applyFill="1" applyBorder="1" applyAlignment="1" applyProtection="1">
      <alignment/>
      <protection/>
    </xf>
    <xf numFmtId="1" fontId="6" fillId="2" borderId="19" xfId="0" applyNumberFormat="1" applyFont="1" applyFill="1" applyBorder="1" applyAlignment="1" applyProtection="1">
      <alignment horizontal="right"/>
      <protection/>
    </xf>
    <xf numFmtId="189" fontId="6" fillId="2" borderId="0" xfId="0" applyNumberFormat="1" applyFont="1" applyFill="1" applyAlignment="1" applyProtection="1">
      <alignment/>
      <protection/>
    </xf>
    <xf numFmtId="3" fontId="9" fillId="2" borderId="20" xfId="0" applyNumberFormat="1" applyFont="1" applyFill="1" applyBorder="1" applyAlignment="1" applyProtection="1">
      <alignment/>
      <protection/>
    </xf>
    <xf numFmtId="3" fontId="9" fillId="2" borderId="21" xfId="0" applyNumberFormat="1" applyFont="1" applyFill="1" applyBorder="1" applyAlignment="1" applyProtection="1">
      <alignment/>
      <protection/>
    </xf>
    <xf numFmtId="3" fontId="9" fillId="2" borderId="22" xfId="0" applyNumberFormat="1" applyFont="1" applyFill="1" applyBorder="1" applyAlignment="1" applyProtection="1">
      <alignment/>
      <protection/>
    </xf>
    <xf numFmtId="1" fontId="6" fillId="2" borderId="17" xfId="0" applyNumberFormat="1" applyFont="1" applyFill="1" applyBorder="1" applyAlignment="1" applyProtection="1">
      <alignment horizontal="right"/>
      <protection/>
    </xf>
    <xf numFmtId="1" fontId="6" fillId="2" borderId="18" xfId="0" applyNumberFormat="1" applyFont="1" applyFill="1" applyBorder="1" applyAlignment="1" applyProtection="1">
      <alignment horizontal="right"/>
      <protection/>
    </xf>
    <xf numFmtId="1" fontId="6" fillId="2" borderId="19" xfId="0" applyNumberFormat="1" applyFont="1" applyFill="1" applyBorder="1" applyAlignment="1" applyProtection="1">
      <alignment/>
      <protection/>
    </xf>
    <xf numFmtId="3" fontId="9" fillId="2" borderId="23" xfId="0" applyNumberFormat="1" applyFont="1" applyFill="1" applyBorder="1" applyAlignment="1" applyProtection="1">
      <alignment/>
      <protection/>
    </xf>
    <xf numFmtId="3" fontId="9" fillId="2" borderId="24" xfId="0" applyNumberFormat="1" applyFont="1" applyFill="1" applyBorder="1" applyAlignment="1" applyProtection="1">
      <alignment/>
      <protection/>
    </xf>
    <xf numFmtId="3" fontId="9" fillId="2" borderId="25" xfId="0" applyNumberFormat="1" applyFont="1" applyFill="1" applyBorder="1" applyAlignment="1" applyProtection="1">
      <alignment/>
      <protection/>
    </xf>
    <xf numFmtId="0" fontId="6" fillId="2" borderId="17" xfId="0" applyNumberFormat="1" applyFont="1" applyFill="1" applyBorder="1" applyAlignment="1" applyProtection="1" quotePrefix="1">
      <alignment horizontal="left"/>
      <protection/>
    </xf>
    <xf numFmtId="0" fontId="6" fillId="2" borderId="16" xfId="0" applyNumberFormat="1" applyFont="1" applyFill="1" applyBorder="1" applyAlignment="1" applyProtection="1">
      <alignment/>
      <protection locked="0"/>
    </xf>
    <xf numFmtId="0" fontId="6" fillId="2" borderId="17" xfId="0" applyNumberFormat="1" applyFont="1" applyFill="1" applyBorder="1" applyAlignment="1" applyProtection="1">
      <alignment horizontal="left"/>
      <protection/>
    </xf>
    <xf numFmtId="0" fontId="6" fillId="2" borderId="18" xfId="0" applyNumberFormat="1" applyFont="1" applyFill="1" applyBorder="1" applyAlignment="1" applyProtection="1">
      <alignment/>
      <protection/>
    </xf>
    <xf numFmtId="0" fontId="8" fillId="2" borderId="17" xfId="0" applyNumberFormat="1" applyFont="1" applyFill="1" applyBorder="1" applyAlignment="1" applyProtection="1">
      <alignment/>
      <protection/>
    </xf>
    <xf numFmtId="0" fontId="6" fillId="2" borderId="16" xfId="0" applyNumberFormat="1" applyFont="1" applyFill="1" applyBorder="1" applyAlignment="1" applyProtection="1">
      <alignment/>
      <protection/>
    </xf>
    <xf numFmtId="0" fontId="6" fillId="2" borderId="26" xfId="0" applyNumberFormat="1" applyFont="1" applyFill="1" applyBorder="1" applyAlignment="1" applyProtection="1">
      <alignment/>
      <protection/>
    </xf>
    <xf numFmtId="0" fontId="6" fillId="2" borderId="27" xfId="0" applyNumberFormat="1" applyFont="1" applyFill="1" applyBorder="1" applyAlignment="1" applyProtection="1">
      <alignment/>
      <protection/>
    </xf>
    <xf numFmtId="1" fontId="6" fillId="2" borderId="28" xfId="0" applyNumberFormat="1" applyFont="1" applyFill="1" applyBorder="1" applyAlignment="1" applyProtection="1">
      <alignment/>
      <protection/>
    </xf>
    <xf numFmtId="1" fontId="6" fillId="2" borderId="27" xfId="0" applyNumberFormat="1" applyFont="1" applyFill="1" applyBorder="1" applyAlignment="1" applyProtection="1">
      <alignment/>
      <protection/>
    </xf>
    <xf numFmtId="1" fontId="6" fillId="2" borderId="29" xfId="0" applyNumberFormat="1" applyFont="1" applyFill="1" applyBorder="1" applyAlignment="1" applyProtection="1">
      <alignment/>
      <protection/>
    </xf>
    <xf numFmtId="3" fontId="9" fillId="2" borderId="30" xfId="0" applyNumberFormat="1" applyFont="1" applyFill="1" applyBorder="1" applyAlignment="1" applyProtection="1">
      <alignment/>
      <protection/>
    </xf>
    <xf numFmtId="3" fontId="9" fillId="2" borderId="31" xfId="0" applyNumberFormat="1" applyFont="1" applyFill="1" applyBorder="1" applyAlignment="1" applyProtection="1">
      <alignment/>
      <protection/>
    </xf>
    <xf numFmtId="3" fontId="9" fillId="2" borderId="32" xfId="0" applyNumberFormat="1" applyFont="1" applyFill="1" applyBorder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/>
      <protection/>
    </xf>
    <xf numFmtId="1" fontId="8" fillId="2" borderId="9" xfId="0" applyNumberFormat="1" applyFont="1" applyFill="1" applyBorder="1" applyAlignment="1" applyProtection="1">
      <alignment/>
      <protection/>
    </xf>
    <xf numFmtId="1" fontId="8" fillId="2" borderId="14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 quotePrefix="1">
      <alignment horizontal="left"/>
      <protection/>
    </xf>
    <xf numFmtId="3" fontId="9" fillId="2" borderId="15" xfId="0" applyNumberFormat="1" applyFont="1" applyFill="1" applyBorder="1" applyAlignment="1" applyProtection="1">
      <alignment/>
      <protection/>
    </xf>
    <xf numFmtId="3" fontId="9" fillId="2" borderId="33" xfId="0" applyNumberFormat="1" applyFont="1" applyFill="1" applyBorder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 horizontal="right"/>
      <protection/>
    </xf>
    <xf numFmtId="2" fontId="8" fillId="2" borderId="11" xfId="0" applyNumberFormat="1" applyFont="1" applyFill="1" applyBorder="1" applyAlignment="1" applyProtection="1">
      <alignment horizontal="right"/>
      <protection/>
    </xf>
    <xf numFmtId="3" fontId="9" fillId="2" borderId="2" xfId="0" applyNumberFormat="1" applyFont="1" applyFill="1" applyBorder="1" applyAlignment="1" applyProtection="1">
      <alignment/>
      <protection/>
    </xf>
    <xf numFmtId="0" fontId="6" fillId="2" borderId="34" xfId="0" applyNumberFormat="1" applyFont="1" applyFill="1" applyBorder="1" applyAlignment="1" applyProtection="1" quotePrefix="1">
      <alignment horizontal="left"/>
      <protection/>
    </xf>
    <xf numFmtId="0" fontId="8" fillId="2" borderId="0" xfId="0" applyNumberFormat="1" applyFont="1" applyFill="1" applyAlignment="1" applyProtection="1">
      <alignment horizontal="right"/>
      <protection/>
    </xf>
    <xf numFmtId="2" fontId="8" fillId="2" borderId="9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Border="1" applyAlignment="1" applyProtection="1">
      <alignment/>
      <protection/>
    </xf>
    <xf numFmtId="2" fontId="6" fillId="2" borderId="35" xfId="0" applyNumberFormat="1" applyFont="1" applyFill="1" applyBorder="1" applyAlignment="1" applyProtection="1" quotePrefix="1">
      <alignment horizontal="right"/>
      <protection/>
    </xf>
    <xf numFmtId="2" fontId="6" fillId="2" borderId="14" xfId="0" applyNumberFormat="1" applyFont="1" applyFill="1" applyBorder="1" applyAlignment="1" applyProtection="1">
      <alignment horizontal="right"/>
      <protection/>
    </xf>
    <xf numFmtId="0" fontId="8" fillId="2" borderId="7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Alignment="1" applyProtection="1" quotePrefix="1">
      <alignment horizontal="right"/>
      <protection/>
    </xf>
    <xf numFmtId="2" fontId="6" fillId="2" borderId="0" xfId="0" applyNumberFormat="1" applyFont="1" applyFill="1" applyAlignment="1" applyProtection="1">
      <alignment/>
      <protection/>
    </xf>
    <xf numFmtId="2" fontId="6" fillId="2" borderId="2" xfId="0" applyNumberFormat="1" applyFont="1" applyFill="1" applyBorder="1" applyAlignment="1" applyProtection="1">
      <alignment/>
      <protection/>
    </xf>
    <xf numFmtId="189" fontId="6" fillId="2" borderId="2" xfId="0" applyNumberFormat="1" applyFont="1" applyFill="1" applyBorder="1" applyAlignment="1" applyProtection="1">
      <alignment/>
      <protection/>
    </xf>
    <xf numFmtId="189" fontId="6" fillId="2" borderId="3" xfId="0" applyNumberFormat="1" applyFont="1" applyFill="1" applyBorder="1" applyAlignment="1" applyProtection="1">
      <alignment/>
      <protection/>
    </xf>
    <xf numFmtId="189" fontId="6" fillId="2" borderId="0" xfId="0" applyNumberFormat="1" applyFont="1" applyFill="1" applyBorder="1" applyAlignment="1" applyProtection="1">
      <alignment/>
      <protection/>
    </xf>
    <xf numFmtId="189" fontId="6" fillId="2" borderId="5" xfId="0" applyNumberFormat="1" applyFont="1" applyFill="1" applyBorder="1" applyAlignment="1" applyProtection="1">
      <alignment/>
      <protection/>
    </xf>
    <xf numFmtId="189" fontId="4" fillId="2" borderId="0" xfId="0" applyNumberFormat="1" applyFont="1" applyFill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2" fontId="12" fillId="3" borderId="14" xfId="0" applyNumberFormat="1" applyFont="1" applyFill="1" applyBorder="1" applyAlignment="1" applyProtection="1">
      <alignment horizontal="right"/>
      <protection/>
    </xf>
    <xf numFmtId="2" fontId="6" fillId="2" borderId="0" xfId="0" applyNumberFormat="1" applyFont="1" applyFill="1" applyBorder="1" applyAlignment="1" applyProtection="1">
      <alignment/>
      <protection/>
    </xf>
    <xf numFmtId="2" fontId="12" fillId="3" borderId="0" xfId="0" applyNumberFormat="1" applyFont="1" applyFill="1" applyBorder="1" applyAlignment="1" applyProtection="1">
      <alignment/>
      <protection locked="0"/>
    </xf>
    <xf numFmtId="189" fontId="12" fillId="3" borderId="0" xfId="0" applyNumberFormat="1" applyFont="1" applyFill="1" applyBorder="1" applyAlignment="1" applyProtection="1">
      <alignment/>
      <protection locked="0"/>
    </xf>
    <xf numFmtId="189" fontId="6" fillId="2" borderId="0" xfId="0" applyNumberFormat="1" applyFont="1" applyFill="1" applyBorder="1" applyAlignment="1" applyProtection="1" quotePrefix="1">
      <alignment horizontal="left"/>
      <protection/>
    </xf>
    <xf numFmtId="2" fontId="12" fillId="2" borderId="0" xfId="0" applyNumberFormat="1" applyFont="1" applyFill="1" applyBorder="1" applyAlignment="1" applyProtection="1">
      <alignment/>
      <protection locked="0"/>
    </xf>
    <xf numFmtId="189" fontId="12" fillId="2" borderId="0" xfId="0" applyNumberFormat="1" applyFont="1" applyFill="1" applyBorder="1" applyAlignment="1" applyProtection="1">
      <alignment/>
      <protection locked="0"/>
    </xf>
    <xf numFmtId="1" fontId="6" fillId="2" borderId="0" xfId="0" applyNumberFormat="1" applyFont="1" applyFill="1" applyAlignment="1" applyProtection="1">
      <alignment/>
      <protection/>
    </xf>
    <xf numFmtId="1" fontId="6" fillId="2" borderId="9" xfId="0" applyNumberFormat="1" applyFont="1" applyFill="1" applyBorder="1" applyAlignment="1" applyProtection="1">
      <alignment/>
      <protection/>
    </xf>
    <xf numFmtId="2" fontId="8" fillId="2" borderId="15" xfId="0" applyNumberFormat="1" applyFont="1" applyFill="1" applyBorder="1" applyAlignment="1" applyProtection="1">
      <alignment horizontal="right"/>
      <protection/>
    </xf>
    <xf numFmtId="3" fontId="9" fillId="2" borderId="7" xfId="0" applyNumberFormat="1" applyFont="1" applyFill="1" applyBorder="1" applyAlignment="1" applyProtection="1">
      <alignment/>
      <protection/>
    </xf>
    <xf numFmtId="2" fontId="6" fillId="2" borderId="36" xfId="0" applyNumberFormat="1" applyFont="1" applyFill="1" applyBorder="1" applyAlignment="1" applyProtection="1" quotePrefix="1">
      <alignment horizontal="right"/>
      <protection/>
    </xf>
    <xf numFmtId="2" fontId="12" fillId="3" borderId="33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9" fillId="2" borderId="37" xfId="0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2333625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B40" sqref="B40"/>
    </sheetView>
  </sheetViews>
  <sheetFormatPr defaultColWidth="8.796875" defaultRowHeight="15"/>
  <cols>
    <col min="1" max="1" width="7" style="9" customWidth="1"/>
    <col min="2" max="2" width="4.69921875" style="9" customWidth="1"/>
    <col min="3" max="3" width="31.69921875" style="9" customWidth="1"/>
    <col min="4" max="6" width="9.09765625" style="9" customWidth="1"/>
    <col min="7" max="7" width="9.3984375" style="9" customWidth="1"/>
    <col min="8" max="8" width="5.69921875" style="9" bestFit="1" customWidth="1"/>
    <col min="9" max="10" width="7.19921875" style="9" hidden="1" customWidth="1"/>
    <col min="11" max="11" width="7" style="9" hidden="1" customWidth="1"/>
    <col min="12" max="12" width="2" style="9" hidden="1" customWidth="1"/>
    <col min="13" max="16" width="7.69921875" style="9" customWidth="1"/>
    <col min="17" max="17" width="11.59765625" style="9" customWidth="1"/>
    <col min="18" max="16384" width="11.3984375" style="9" customWidth="1"/>
  </cols>
  <sheetData>
    <row r="1" spans="1:12" ht="12.75">
      <c r="A1" s="1"/>
      <c r="B1" s="2"/>
      <c r="C1" s="3" t="s">
        <v>0</v>
      </c>
      <c r="D1" s="3" t="s">
        <v>0</v>
      </c>
      <c r="E1" s="4" t="s">
        <v>0</v>
      </c>
      <c r="F1" s="5" t="s">
        <v>1</v>
      </c>
      <c r="G1" s="6" t="s">
        <v>84</v>
      </c>
      <c r="H1" s="1"/>
      <c r="I1" s="1"/>
      <c r="J1" s="7"/>
      <c r="K1" s="7"/>
      <c r="L1" s="8"/>
    </row>
    <row r="2" spans="1:12" ht="12.75">
      <c r="A2" s="1"/>
      <c r="B2" s="10"/>
      <c r="C2" s="11" t="s">
        <v>0</v>
      </c>
      <c r="D2" s="1"/>
      <c r="E2" s="12"/>
      <c r="F2" s="13" t="s">
        <v>2</v>
      </c>
      <c r="G2" s="14">
        <v>39205</v>
      </c>
      <c r="H2" s="1"/>
      <c r="I2" s="1"/>
      <c r="J2" s="7"/>
      <c r="K2" s="7"/>
      <c r="L2" s="8"/>
    </row>
    <row r="3" spans="1:12" ht="12.75">
      <c r="A3" s="1"/>
      <c r="B3" s="10"/>
      <c r="C3" s="1" t="s">
        <v>0</v>
      </c>
      <c r="D3" s="1"/>
      <c r="E3" s="15"/>
      <c r="F3" s="13" t="s">
        <v>3</v>
      </c>
      <c r="G3" s="16">
        <f ca="1">NOW()</f>
        <v>39892.61862476852</v>
      </c>
      <c r="H3" s="1"/>
      <c r="I3" s="1"/>
      <c r="J3" s="7"/>
      <c r="K3" s="7"/>
      <c r="L3" s="8"/>
    </row>
    <row r="4" spans="1:12" ht="13.5" thickBot="1">
      <c r="A4" s="1"/>
      <c r="B4" s="17"/>
      <c r="C4" s="18" t="s">
        <v>0</v>
      </c>
      <c r="D4" s="18" t="s">
        <v>0</v>
      </c>
      <c r="E4" s="19" t="s">
        <v>0</v>
      </c>
      <c r="F4" s="20" t="s">
        <v>4</v>
      </c>
      <c r="G4" s="21" t="s">
        <v>85</v>
      </c>
      <c r="H4" s="1"/>
      <c r="I4" s="1"/>
      <c r="J4" s="7"/>
      <c r="K4" s="7"/>
      <c r="L4" s="8"/>
    </row>
    <row r="5" spans="1:12" ht="9.75" customHeight="1" thickBot="1">
      <c r="A5" s="1"/>
      <c r="B5" s="22"/>
      <c r="C5" s="3" t="s">
        <v>0</v>
      </c>
      <c r="D5" s="3"/>
      <c r="E5" s="3"/>
      <c r="F5" s="3"/>
      <c r="G5" s="23"/>
      <c r="H5" s="1"/>
      <c r="I5" s="1"/>
      <c r="J5" s="7"/>
      <c r="K5" s="7"/>
      <c r="L5" s="8"/>
    </row>
    <row r="6" spans="1:12" ht="13.5" customHeight="1" thickBot="1">
      <c r="A6" s="1"/>
      <c r="B6" s="132" t="s">
        <v>89</v>
      </c>
      <c r="C6" s="133"/>
      <c r="D6" s="134" t="s">
        <v>90</v>
      </c>
      <c r="E6" s="135"/>
      <c r="F6" s="134" t="s">
        <v>5</v>
      </c>
      <c r="G6" s="135"/>
      <c r="H6" s="1"/>
      <c r="I6" s="1"/>
      <c r="J6" s="24"/>
      <c r="K6" s="24"/>
      <c r="L6" s="8"/>
    </row>
    <row r="7" spans="1:12" ht="9.75" customHeight="1" thickBot="1">
      <c r="A7" s="1"/>
      <c r="B7" s="136" t="s">
        <v>100</v>
      </c>
      <c r="C7" s="137"/>
      <c r="D7" s="25"/>
      <c r="E7" s="25"/>
      <c r="F7" s="26"/>
      <c r="G7" s="27"/>
      <c r="H7" s="1"/>
      <c r="I7" s="1"/>
      <c r="J7" s="28"/>
      <c r="K7" s="28"/>
      <c r="L7" s="8"/>
    </row>
    <row r="8" spans="1:12" ht="12.75">
      <c r="A8" s="1"/>
      <c r="B8" s="10"/>
      <c r="C8" s="29" t="s">
        <v>91</v>
      </c>
      <c r="D8" s="30"/>
      <c r="E8" s="30"/>
      <c r="F8" s="31"/>
      <c r="G8" s="32"/>
      <c r="H8" s="1"/>
      <c r="I8" s="1"/>
      <c r="J8" s="28"/>
      <c r="K8" s="28"/>
      <c r="L8" s="8"/>
    </row>
    <row r="9" spans="1:13" ht="12.75">
      <c r="A9" s="1"/>
      <c r="B9" s="10"/>
      <c r="C9" s="33" t="s">
        <v>93</v>
      </c>
      <c r="D9" s="30"/>
      <c r="E9" s="34" t="s">
        <v>94</v>
      </c>
      <c r="F9" s="35">
        <f>E70</f>
        <v>4.0823</v>
      </c>
      <c r="G9" s="36">
        <f>(F9*2204.6)</f>
        <v>8999.83858</v>
      </c>
      <c r="H9" s="1"/>
      <c r="I9" s="1"/>
      <c r="J9" s="28"/>
      <c r="K9" s="28" t="s">
        <v>87</v>
      </c>
      <c r="L9" s="8"/>
      <c r="M9" s="37" t="s">
        <v>105</v>
      </c>
    </row>
    <row r="10" spans="1:12" ht="12.75">
      <c r="A10" s="1"/>
      <c r="B10" s="10"/>
      <c r="C10" s="38"/>
      <c r="D10" s="31"/>
      <c r="E10" s="39" t="s">
        <v>92</v>
      </c>
      <c r="F10" s="35">
        <f>E71</f>
        <v>8.839</v>
      </c>
      <c r="G10" s="36"/>
      <c r="H10" s="1"/>
      <c r="I10" s="1"/>
      <c r="J10" s="28"/>
      <c r="K10" s="28" t="s">
        <v>88</v>
      </c>
      <c r="L10" s="8"/>
    </row>
    <row r="11" spans="1:12" ht="13.5" thickBot="1">
      <c r="A11" s="1"/>
      <c r="B11" s="10"/>
      <c r="C11" s="40" t="s">
        <v>6</v>
      </c>
      <c r="D11" s="31"/>
      <c r="E11" s="31"/>
      <c r="F11" s="30"/>
      <c r="G11" s="32"/>
      <c r="H11" s="1"/>
      <c r="I11" s="1"/>
      <c r="J11" s="28"/>
      <c r="K11" s="28"/>
      <c r="L11" s="8"/>
    </row>
    <row r="12" spans="1:16" ht="12.75">
      <c r="A12" s="1"/>
      <c r="B12" s="10"/>
      <c r="C12" s="31" t="s">
        <v>0</v>
      </c>
      <c r="D12" s="41" t="s">
        <v>7</v>
      </c>
      <c r="E12" s="42" t="s">
        <v>8</v>
      </c>
      <c r="F12" s="41" t="s">
        <v>9</v>
      </c>
      <c r="G12" s="43" t="s">
        <v>101</v>
      </c>
      <c r="H12" s="1"/>
      <c r="I12" s="1"/>
      <c r="J12" s="28"/>
      <c r="K12" s="28"/>
      <c r="L12" s="8"/>
      <c r="M12" s="44" t="s">
        <v>7</v>
      </c>
      <c r="N12" s="45" t="s">
        <v>8</v>
      </c>
      <c r="O12" s="45" t="s">
        <v>9</v>
      </c>
      <c r="P12" s="46" t="s">
        <v>101</v>
      </c>
    </row>
    <row r="13" spans="1:16" ht="12.75">
      <c r="A13" s="1"/>
      <c r="B13" s="10"/>
      <c r="C13" s="31" t="s">
        <v>0</v>
      </c>
      <c r="D13" s="41" t="s">
        <v>10</v>
      </c>
      <c r="E13" s="42" t="s">
        <v>11</v>
      </c>
      <c r="F13" s="41" t="s">
        <v>11</v>
      </c>
      <c r="G13" s="43" t="s">
        <v>11</v>
      </c>
      <c r="I13" s="1" t="s">
        <v>12</v>
      </c>
      <c r="J13" s="1" t="s">
        <v>13</v>
      </c>
      <c r="K13" s="1" t="s">
        <v>14</v>
      </c>
      <c r="L13" s="28"/>
      <c r="M13" s="47" t="s">
        <v>95</v>
      </c>
      <c r="N13" s="41" t="s">
        <v>96</v>
      </c>
      <c r="O13" s="41" t="s">
        <v>96</v>
      </c>
      <c r="P13" s="48" t="s">
        <v>96</v>
      </c>
    </row>
    <row r="14" spans="1:16" ht="12.75">
      <c r="A14" s="1"/>
      <c r="B14" s="10"/>
      <c r="C14" s="49" t="s">
        <v>15</v>
      </c>
      <c r="D14" s="50">
        <f>SUM(E14:G14)</f>
        <v>42502.299999999996</v>
      </c>
      <c r="E14" s="51">
        <f>H71*(K14+H72)/(J14+K14)*1000</f>
        <v>18324.396154514772</v>
      </c>
      <c r="F14" s="50">
        <f>H71*1000-E14</f>
        <v>11995.515600208611</v>
      </c>
      <c r="G14" s="52">
        <f>(H68+E70)*1000</f>
        <v>12182.388245276614</v>
      </c>
      <c r="I14" s="1"/>
      <c r="J14" s="1">
        <v>3.275</v>
      </c>
      <c r="K14" s="1">
        <v>0.825</v>
      </c>
      <c r="L14" s="28"/>
      <c r="M14" s="47" t="s">
        <v>97</v>
      </c>
      <c r="N14" s="41" t="s">
        <v>97</v>
      </c>
      <c r="O14" s="41" t="s">
        <v>97</v>
      </c>
      <c r="P14" s="48" t="s">
        <v>97</v>
      </c>
    </row>
    <row r="15" spans="1:16" ht="9.75" customHeight="1">
      <c r="A15" s="1"/>
      <c r="B15" s="10"/>
      <c r="C15" s="31" t="s">
        <v>0</v>
      </c>
      <c r="D15" s="53">
        <f>D14*2.2046244201838</f>
        <v>93701.60849397792</v>
      </c>
      <c r="E15" s="53">
        <f>E14*2.2046244201838</f>
        <v>40398.41124736539</v>
      </c>
      <c r="F15" s="53">
        <f>F14*2.2046244201838</f>
        <v>26445.60662491564</v>
      </c>
      <c r="G15" s="54">
        <f>G14*2.2046244201838</f>
        <v>26857.590621696898</v>
      </c>
      <c r="I15" s="1"/>
      <c r="J15" s="1"/>
      <c r="K15" s="1"/>
      <c r="L15" s="28"/>
      <c r="M15" s="55"/>
      <c r="N15" s="56"/>
      <c r="O15" s="56"/>
      <c r="P15" s="57"/>
    </row>
    <row r="16" spans="1:16" ht="13.5" thickBot="1">
      <c r="A16" s="1"/>
      <c r="B16" s="17"/>
      <c r="C16" s="58" t="s">
        <v>16</v>
      </c>
      <c r="D16" s="59"/>
      <c r="E16" s="18"/>
      <c r="F16" s="59"/>
      <c r="G16" s="60"/>
      <c r="I16" s="1"/>
      <c r="J16" s="1"/>
      <c r="K16" s="1"/>
      <c r="L16" s="28"/>
      <c r="M16" s="61"/>
      <c r="N16" s="62"/>
      <c r="O16" s="62"/>
      <c r="P16" s="63"/>
    </row>
    <row r="17" spans="1:16" ht="9" customHeight="1">
      <c r="A17" s="1">
        <v>120</v>
      </c>
      <c r="B17" s="118">
        <v>1</v>
      </c>
      <c r="C17" s="1" t="s">
        <v>77</v>
      </c>
      <c r="D17" s="64">
        <f aca="true" t="shared" si="0" ref="D17:D33">B17*A17</f>
        <v>120</v>
      </c>
      <c r="E17" s="126">
        <f>D17-F17</f>
        <v>58.536585365853654</v>
      </c>
      <c r="F17" s="127">
        <f>(J17-I17)/(J17+K17)*D17</f>
        <v>61.463414634146346</v>
      </c>
      <c r="G17" s="32">
        <v>0</v>
      </c>
      <c r="I17" s="1">
        <v>1.175</v>
      </c>
      <c r="J17" s="1">
        <f>J14</f>
        <v>3.275</v>
      </c>
      <c r="K17" s="1">
        <f>K14</f>
        <v>0.825</v>
      </c>
      <c r="L17" s="1"/>
      <c r="M17" s="71">
        <f>D17*2.2046244201838</f>
        <v>264.55493042205603</v>
      </c>
      <c r="N17" s="72">
        <f>E17*2.2046244201838</f>
        <v>129.05118557173464</v>
      </c>
      <c r="O17" s="72">
        <f>F17*2.2046244201838</f>
        <v>135.5037448503214</v>
      </c>
      <c r="P17" s="73">
        <f>G17*2.2046244201838</f>
        <v>0</v>
      </c>
    </row>
    <row r="18" spans="1:16" ht="9" customHeight="1">
      <c r="A18" s="1">
        <v>120</v>
      </c>
      <c r="B18" s="65">
        <v>0</v>
      </c>
      <c r="C18" s="66" t="s">
        <v>78</v>
      </c>
      <c r="D18" s="67">
        <f t="shared" si="0"/>
        <v>0</v>
      </c>
      <c r="E18" s="68">
        <v>0</v>
      </c>
      <c r="F18" s="67">
        <v>0</v>
      </c>
      <c r="G18" s="69">
        <f>D18</f>
        <v>0</v>
      </c>
      <c r="I18" s="1"/>
      <c r="J18" s="70">
        <f aca="true" t="shared" si="1" ref="J18:K32">J17</f>
        <v>3.275</v>
      </c>
      <c r="K18" s="70">
        <f t="shared" si="1"/>
        <v>0.825</v>
      </c>
      <c r="L18" s="1"/>
      <c r="M18" s="71">
        <f aca="true" t="shared" si="2" ref="M18:M41">D18*2.2046244201838</f>
        <v>0</v>
      </c>
      <c r="N18" s="72">
        <f aca="true" t="shared" si="3" ref="N18:N41">E18*2.2046244201838</f>
        <v>0</v>
      </c>
      <c r="O18" s="72">
        <f aca="true" t="shared" si="4" ref="O18:O41">F18*2.2046244201838</f>
        <v>0</v>
      </c>
      <c r="P18" s="73">
        <f aca="true" t="shared" si="5" ref="P18:P41">G18*2.2046244201838</f>
        <v>0</v>
      </c>
    </row>
    <row r="19" spans="1:16" ht="9" customHeight="1">
      <c r="A19" s="1">
        <v>580</v>
      </c>
      <c r="B19" s="65">
        <v>0</v>
      </c>
      <c r="C19" s="66" t="s">
        <v>79</v>
      </c>
      <c r="D19" s="67">
        <f t="shared" si="0"/>
        <v>0</v>
      </c>
      <c r="E19" s="74">
        <v>0</v>
      </c>
      <c r="F19" s="75">
        <v>0</v>
      </c>
      <c r="G19" s="76">
        <f>D19</f>
        <v>0</v>
      </c>
      <c r="I19" s="1"/>
      <c r="J19" s="70">
        <f t="shared" si="1"/>
        <v>3.275</v>
      </c>
      <c r="K19" s="70">
        <f t="shared" si="1"/>
        <v>0.825</v>
      </c>
      <c r="L19" s="1"/>
      <c r="M19" s="71">
        <f t="shared" si="2"/>
        <v>0</v>
      </c>
      <c r="N19" s="72">
        <f t="shared" si="3"/>
        <v>0</v>
      </c>
      <c r="O19" s="72">
        <f t="shared" si="4"/>
        <v>0</v>
      </c>
      <c r="P19" s="73">
        <f t="shared" si="5"/>
        <v>0</v>
      </c>
    </row>
    <row r="20" spans="1:16" ht="9" customHeight="1">
      <c r="A20" s="1">
        <v>330</v>
      </c>
      <c r="B20" s="65">
        <v>1</v>
      </c>
      <c r="C20" s="80" t="s">
        <v>17</v>
      </c>
      <c r="D20" s="67">
        <f t="shared" si="0"/>
        <v>330</v>
      </c>
      <c r="E20" s="74">
        <f>D20-F20</f>
        <v>260.8770731707317</v>
      </c>
      <c r="F20" s="75">
        <f>(J20-I20)/(J20+K20)*D20</f>
        <v>69.1229268292683</v>
      </c>
      <c r="G20" s="76">
        <v>0</v>
      </c>
      <c r="I20" s="1">
        <v>2.4162</v>
      </c>
      <c r="J20" s="70">
        <f t="shared" si="1"/>
        <v>3.275</v>
      </c>
      <c r="K20" s="70">
        <f t="shared" si="1"/>
        <v>0.825</v>
      </c>
      <c r="L20" s="1"/>
      <c r="M20" s="71">
        <f t="shared" si="2"/>
        <v>727.526058660654</v>
      </c>
      <c r="N20" s="72">
        <f t="shared" si="3"/>
        <v>575.1359661782711</v>
      </c>
      <c r="O20" s="72">
        <f t="shared" si="4"/>
        <v>152.39009248238287</v>
      </c>
      <c r="P20" s="73">
        <f t="shared" si="5"/>
        <v>0</v>
      </c>
    </row>
    <row r="21" spans="1:16" ht="9" customHeight="1">
      <c r="A21" s="1">
        <v>1180</v>
      </c>
      <c r="B21" s="65">
        <v>1</v>
      </c>
      <c r="C21" s="66" t="s">
        <v>18</v>
      </c>
      <c r="D21" s="67">
        <f t="shared" si="0"/>
        <v>1180</v>
      </c>
      <c r="E21" s="68">
        <f>D21-F21</f>
        <v>1218.5658536585365</v>
      </c>
      <c r="F21" s="67">
        <f>(J21-I21)/(J21+K21)*D21</f>
        <v>-38.56585365853656</v>
      </c>
      <c r="G21" s="69">
        <v>0</v>
      </c>
      <c r="I21" s="1">
        <v>3.409</v>
      </c>
      <c r="J21" s="70">
        <f t="shared" si="1"/>
        <v>3.275</v>
      </c>
      <c r="K21" s="70">
        <f t="shared" si="1"/>
        <v>0.825</v>
      </c>
      <c r="L21" s="1"/>
      <c r="M21" s="71">
        <f t="shared" si="2"/>
        <v>2601.456815816884</v>
      </c>
      <c r="N21" s="72">
        <f t="shared" si="3"/>
        <v>2686.4800385777285</v>
      </c>
      <c r="O21" s="72">
        <f t="shared" si="4"/>
        <v>-85.02322276084445</v>
      </c>
      <c r="P21" s="73">
        <f t="shared" si="5"/>
        <v>0</v>
      </c>
    </row>
    <row r="22" spans="1:16" ht="9" customHeight="1">
      <c r="A22" s="1">
        <v>170</v>
      </c>
      <c r="B22" s="65">
        <v>1</v>
      </c>
      <c r="C22" s="66" t="s">
        <v>75</v>
      </c>
      <c r="D22" s="67">
        <f t="shared" si="0"/>
        <v>170</v>
      </c>
      <c r="E22" s="68">
        <f>(D22-G22)*(E72+K22)/(J22+K22)</f>
        <v>-9.030102180193659</v>
      </c>
      <c r="F22" s="67">
        <f>D22-E22-G22</f>
        <v>-2.8173918802204128</v>
      </c>
      <c r="G22" s="69">
        <f>(I22+E72)/E71*D22</f>
        <v>181.84749406041408</v>
      </c>
      <c r="I22" s="1">
        <v>7.155</v>
      </c>
      <c r="J22" s="70">
        <f t="shared" si="1"/>
        <v>3.275</v>
      </c>
      <c r="K22" s="70">
        <f t="shared" si="1"/>
        <v>0.825</v>
      </c>
      <c r="L22" s="1"/>
      <c r="M22" s="71">
        <f t="shared" si="2"/>
        <v>374.786151431246</v>
      </c>
      <c r="N22" s="72">
        <f t="shared" si="3"/>
        <v>-19.907983783209914</v>
      </c>
      <c r="O22" s="72">
        <f t="shared" si="4"/>
        <v>-6.211290940361474</v>
      </c>
      <c r="P22" s="73">
        <f t="shared" si="5"/>
        <v>400.9054261548174</v>
      </c>
    </row>
    <row r="23" spans="1:16" ht="9" customHeight="1">
      <c r="A23" s="1">
        <v>85</v>
      </c>
      <c r="B23" s="65">
        <v>1</v>
      </c>
      <c r="C23" s="66" t="s">
        <v>19</v>
      </c>
      <c r="D23" s="67">
        <f t="shared" si="0"/>
        <v>85</v>
      </c>
      <c r="E23" s="68">
        <f>(D23-G23)*(E72+K23)/(J23+K23)</f>
        <v>21.424503792780886</v>
      </c>
      <c r="F23" s="67">
        <f>D23-E23-G23</f>
        <v>6.684445183347634</v>
      </c>
      <c r="G23" s="69">
        <f>(I23+E72)/E71*D23</f>
        <v>56.89105102387148</v>
      </c>
      <c r="I23" s="1">
        <v>3.616</v>
      </c>
      <c r="J23" s="70">
        <f t="shared" si="1"/>
        <v>3.275</v>
      </c>
      <c r="K23" s="70">
        <f t="shared" si="1"/>
        <v>0.825</v>
      </c>
      <c r="L23" s="1"/>
      <c r="M23" s="71">
        <f t="shared" si="2"/>
        <v>187.393075715623</v>
      </c>
      <c r="N23" s="72">
        <f t="shared" si="3"/>
        <v>47.232984251885185</v>
      </c>
      <c r="O23" s="72">
        <f t="shared" si="4"/>
        <v>14.736691086588174</v>
      </c>
      <c r="P23" s="73">
        <f t="shared" si="5"/>
        <v>125.42340037714966</v>
      </c>
    </row>
    <row r="24" spans="1:16" ht="9" customHeight="1">
      <c r="A24" s="1">
        <v>1300</v>
      </c>
      <c r="B24" s="65">
        <v>0</v>
      </c>
      <c r="C24" s="66" t="s">
        <v>83</v>
      </c>
      <c r="D24" s="67">
        <f t="shared" si="0"/>
        <v>0</v>
      </c>
      <c r="E24" s="68">
        <f>(D24-G24)*(E72+K24)/(J24+K24)</f>
        <v>0</v>
      </c>
      <c r="F24" s="67">
        <f>D24-E24-G24</f>
        <v>0</v>
      </c>
      <c r="G24" s="69">
        <f>(I24+E72)/E71*D24</f>
        <v>0</v>
      </c>
      <c r="I24" s="1">
        <v>4.287</v>
      </c>
      <c r="J24" s="70">
        <f t="shared" si="1"/>
        <v>3.275</v>
      </c>
      <c r="K24" s="70">
        <f t="shared" si="1"/>
        <v>0.825</v>
      </c>
      <c r="L24" s="1"/>
      <c r="M24" s="71">
        <f t="shared" si="2"/>
        <v>0</v>
      </c>
      <c r="N24" s="72">
        <f t="shared" si="3"/>
        <v>0</v>
      </c>
      <c r="O24" s="72">
        <f t="shared" si="4"/>
        <v>0</v>
      </c>
      <c r="P24" s="73">
        <f t="shared" si="5"/>
        <v>0</v>
      </c>
    </row>
    <row r="25" spans="1:16" ht="9" customHeight="1">
      <c r="A25" s="1">
        <v>1330</v>
      </c>
      <c r="B25" s="65">
        <v>1</v>
      </c>
      <c r="C25" s="80" t="s">
        <v>82</v>
      </c>
      <c r="D25" s="67">
        <f>B25*A25</f>
        <v>1330</v>
      </c>
      <c r="E25" s="68">
        <f>(D25-G25)*(E72+K25)/(J25+K25)</f>
        <v>248.98575189225141</v>
      </c>
      <c r="F25" s="67">
        <f>D25-E25-G25</f>
        <v>77.68355459038253</v>
      </c>
      <c r="G25" s="69">
        <f>(I25+E72)/E71*D25</f>
        <v>1003.3306935173662</v>
      </c>
      <c r="I25" s="1">
        <v>4.368</v>
      </c>
      <c r="J25" s="70">
        <f t="shared" si="1"/>
        <v>3.275</v>
      </c>
      <c r="K25" s="70">
        <f t="shared" si="1"/>
        <v>0.825</v>
      </c>
      <c r="L25" s="1"/>
      <c r="M25" s="71">
        <f t="shared" si="2"/>
        <v>2932.150478844454</v>
      </c>
      <c r="N25" s="72">
        <f t="shared" si="3"/>
        <v>548.9200688994823</v>
      </c>
      <c r="O25" s="72">
        <f t="shared" si="4"/>
        <v>171.26306149663867</v>
      </c>
      <c r="P25" s="73">
        <f t="shared" si="5"/>
        <v>2211.9673484483333</v>
      </c>
    </row>
    <row r="26" spans="1:16" ht="9" customHeight="1">
      <c r="A26" s="1">
        <v>40</v>
      </c>
      <c r="B26" s="65">
        <v>1</v>
      </c>
      <c r="C26" s="82" t="s">
        <v>20</v>
      </c>
      <c r="D26" s="67">
        <f t="shared" si="0"/>
        <v>40</v>
      </c>
      <c r="E26" s="68">
        <f>D26-F26</f>
        <v>32.4390243902439</v>
      </c>
      <c r="F26" s="67">
        <f>(J26-I26)/(J26+K26)*D26</f>
        <v>7.560975609756097</v>
      </c>
      <c r="G26" s="69">
        <v>0</v>
      </c>
      <c r="I26" s="1">
        <v>2.5</v>
      </c>
      <c r="J26" s="70">
        <f t="shared" si="1"/>
        <v>3.275</v>
      </c>
      <c r="K26" s="70">
        <f t="shared" si="1"/>
        <v>0.825</v>
      </c>
      <c r="L26" s="1"/>
      <c r="M26" s="71">
        <f t="shared" si="2"/>
        <v>88.184976807352</v>
      </c>
      <c r="N26" s="72">
        <f t="shared" si="3"/>
        <v>71.51586533766961</v>
      </c>
      <c r="O26" s="72">
        <f t="shared" si="4"/>
        <v>16.66911146968239</v>
      </c>
      <c r="P26" s="73">
        <f t="shared" si="5"/>
        <v>0</v>
      </c>
    </row>
    <row r="27" spans="1:16" ht="9" customHeight="1">
      <c r="A27" s="1">
        <v>480</v>
      </c>
      <c r="B27" s="65">
        <v>0</v>
      </c>
      <c r="C27" s="80" t="s">
        <v>21</v>
      </c>
      <c r="D27" s="67">
        <f t="shared" si="0"/>
        <v>0</v>
      </c>
      <c r="E27" s="68">
        <f>D27-F27</f>
        <v>0</v>
      </c>
      <c r="F27" s="67">
        <f>(J27-I27)/(J27+K27)*D27</f>
        <v>0</v>
      </c>
      <c r="G27" s="69">
        <v>0</v>
      </c>
      <c r="I27" s="1">
        <v>1.225</v>
      </c>
      <c r="J27" s="70">
        <f t="shared" si="1"/>
        <v>3.275</v>
      </c>
      <c r="K27" s="70">
        <f t="shared" si="1"/>
        <v>0.825</v>
      </c>
      <c r="L27" s="1"/>
      <c r="M27" s="71">
        <f t="shared" si="2"/>
        <v>0</v>
      </c>
      <c r="N27" s="72">
        <f t="shared" si="3"/>
        <v>0</v>
      </c>
      <c r="O27" s="72">
        <f t="shared" si="4"/>
        <v>0</v>
      </c>
      <c r="P27" s="73">
        <f t="shared" si="5"/>
        <v>0</v>
      </c>
    </row>
    <row r="28" spans="1:16" ht="9" customHeight="1">
      <c r="A28" s="1">
        <v>816</v>
      </c>
      <c r="B28" s="65">
        <v>1</v>
      </c>
      <c r="C28" s="80" t="s">
        <v>22</v>
      </c>
      <c r="D28" s="67">
        <f t="shared" si="0"/>
        <v>816</v>
      </c>
      <c r="E28" s="68">
        <f>D28-F28</f>
        <v>408</v>
      </c>
      <c r="F28" s="67">
        <f>(J28-I28)/(J28+K28)*D28</f>
        <v>408</v>
      </c>
      <c r="G28" s="69">
        <v>0</v>
      </c>
      <c r="I28" s="1">
        <v>1.225</v>
      </c>
      <c r="J28" s="70">
        <f t="shared" si="1"/>
        <v>3.275</v>
      </c>
      <c r="K28" s="70">
        <f t="shared" si="1"/>
        <v>0.825</v>
      </c>
      <c r="L28" s="1"/>
      <c r="M28" s="71">
        <f t="shared" si="2"/>
        <v>1798.9735268699808</v>
      </c>
      <c r="N28" s="72">
        <f t="shared" si="3"/>
        <v>899.4867634349904</v>
      </c>
      <c r="O28" s="72">
        <f t="shared" si="4"/>
        <v>899.4867634349904</v>
      </c>
      <c r="P28" s="73">
        <f t="shared" si="5"/>
        <v>0</v>
      </c>
    </row>
    <row r="29" spans="1:16" ht="9" customHeight="1">
      <c r="A29" s="1">
        <v>50</v>
      </c>
      <c r="B29" s="65">
        <v>1</v>
      </c>
      <c r="C29" s="80" t="s">
        <v>86</v>
      </c>
      <c r="D29" s="67">
        <f>B29*A29</f>
        <v>50</v>
      </c>
      <c r="E29" s="68">
        <f>D29-F29</f>
        <v>25</v>
      </c>
      <c r="F29" s="67">
        <f>(J29-I29)/(J29+K29)*D29</f>
        <v>25</v>
      </c>
      <c r="G29" s="69">
        <v>0</v>
      </c>
      <c r="I29" s="1">
        <v>1.225</v>
      </c>
      <c r="J29" s="70">
        <f>J28</f>
        <v>3.275</v>
      </c>
      <c r="K29" s="70">
        <f>K28</f>
        <v>0.825</v>
      </c>
      <c r="L29" s="1"/>
      <c r="M29" s="71">
        <f t="shared" si="2"/>
        <v>110.23122100919001</v>
      </c>
      <c r="N29" s="72">
        <f t="shared" si="3"/>
        <v>55.115610504595004</v>
      </c>
      <c r="O29" s="72">
        <f t="shared" si="4"/>
        <v>55.115610504595004</v>
      </c>
      <c r="P29" s="73">
        <f t="shared" si="5"/>
        <v>0</v>
      </c>
    </row>
    <row r="30" spans="1:16" ht="9" customHeight="1">
      <c r="A30" s="1">
        <v>240</v>
      </c>
      <c r="B30" s="65">
        <v>0</v>
      </c>
      <c r="C30" s="80" t="s">
        <v>23</v>
      </c>
      <c r="D30" s="67">
        <f t="shared" si="0"/>
        <v>0</v>
      </c>
      <c r="E30" s="68">
        <v>0</v>
      </c>
      <c r="F30" s="67">
        <v>0</v>
      </c>
      <c r="G30" s="69">
        <f>D30</f>
        <v>0</v>
      </c>
      <c r="I30" s="1"/>
      <c r="J30" s="70">
        <f>J28</f>
        <v>3.275</v>
      </c>
      <c r="K30" s="70">
        <f>K28</f>
        <v>0.825</v>
      </c>
      <c r="L30" s="1"/>
      <c r="M30" s="71">
        <f t="shared" si="2"/>
        <v>0</v>
      </c>
      <c r="N30" s="72">
        <f t="shared" si="3"/>
        <v>0</v>
      </c>
      <c r="O30" s="72">
        <f t="shared" si="4"/>
        <v>0</v>
      </c>
      <c r="P30" s="73">
        <f t="shared" si="5"/>
        <v>0</v>
      </c>
    </row>
    <row r="31" spans="1:16" ht="9" customHeight="1">
      <c r="A31" s="1">
        <v>300</v>
      </c>
      <c r="B31" s="65">
        <v>0</v>
      </c>
      <c r="C31" s="82" t="s">
        <v>24</v>
      </c>
      <c r="D31" s="67">
        <f t="shared" si="0"/>
        <v>0</v>
      </c>
      <c r="E31" s="68">
        <v>0</v>
      </c>
      <c r="F31" s="67">
        <v>0</v>
      </c>
      <c r="G31" s="69">
        <f>D31</f>
        <v>0</v>
      </c>
      <c r="I31" s="1"/>
      <c r="J31" s="70">
        <f t="shared" si="1"/>
        <v>3.275</v>
      </c>
      <c r="K31" s="70">
        <f t="shared" si="1"/>
        <v>0.825</v>
      </c>
      <c r="L31" s="1"/>
      <c r="M31" s="71">
        <f t="shared" si="2"/>
        <v>0</v>
      </c>
      <c r="N31" s="72">
        <f t="shared" si="3"/>
        <v>0</v>
      </c>
      <c r="O31" s="72">
        <f t="shared" si="4"/>
        <v>0</v>
      </c>
      <c r="P31" s="73">
        <f t="shared" si="5"/>
        <v>0</v>
      </c>
    </row>
    <row r="32" spans="1:16" ht="9" customHeight="1">
      <c r="A32" s="1">
        <v>342</v>
      </c>
      <c r="B32" s="65">
        <v>0</v>
      </c>
      <c r="C32" s="66" t="s">
        <v>25</v>
      </c>
      <c r="D32" s="67">
        <f t="shared" si="0"/>
        <v>0</v>
      </c>
      <c r="E32" s="68">
        <v>0</v>
      </c>
      <c r="F32" s="67">
        <v>0</v>
      </c>
      <c r="G32" s="69">
        <f>D32</f>
        <v>0</v>
      </c>
      <c r="I32" s="1"/>
      <c r="J32" s="70">
        <f t="shared" si="1"/>
        <v>3.275</v>
      </c>
      <c r="K32" s="70">
        <f t="shared" si="1"/>
        <v>0.825</v>
      </c>
      <c r="L32" s="1"/>
      <c r="M32" s="71">
        <f t="shared" si="2"/>
        <v>0</v>
      </c>
      <c r="N32" s="72">
        <f t="shared" si="3"/>
        <v>0</v>
      </c>
      <c r="O32" s="72">
        <f t="shared" si="4"/>
        <v>0</v>
      </c>
      <c r="P32" s="73">
        <f t="shared" si="5"/>
        <v>0</v>
      </c>
    </row>
    <row r="33" spans="1:16" ht="9" customHeight="1">
      <c r="A33" s="1">
        <v>610</v>
      </c>
      <c r="B33" s="65">
        <v>0</v>
      </c>
      <c r="C33" s="66" t="s">
        <v>71</v>
      </c>
      <c r="D33" s="67">
        <f t="shared" si="0"/>
        <v>0</v>
      </c>
      <c r="E33" s="68">
        <f>D33-F33</f>
        <v>0</v>
      </c>
      <c r="F33" s="67">
        <f>(J33-I33)/(J33+K33)*D33</f>
        <v>0</v>
      </c>
      <c r="G33" s="69">
        <v>0</v>
      </c>
      <c r="I33" s="1">
        <v>3.485</v>
      </c>
      <c r="J33" s="70">
        <f>J31</f>
        <v>3.275</v>
      </c>
      <c r="K33" s="70">
        <f>K31</f>
        <v>0.825</v>
      </c>
      <c r="L33" s="1"/>
      <c r="M33" s="71">
        <f t="shared" si="2"/>
        <v>0</v>
      </c>
      <c r="N33" s="72">
        <f t="shared" si="3"/>
        <v>0</v>
      </c>
      <c r="O33" s="72">
        <f t="shared" si="4"/>
        <v>0</v>
      </c>
      <c r="P33" s="73">
        <f t="shared" si="5"/>
        <v>0</v>
      </c>
    </row>
    <row r="34" spans="1:16" ht="9" customHeight="1">
      <c r="A34" s="1">
        <v>3500</v>
      </c>
      <c r="B34" s="65">
        <v>1</v>
      </c>
      <c r="C34" s="66" t="s">
        <v>80</v>
      </c>
      <c r="D34" s="67">
        <f>B34*A34</f>
        <v>3500</v>
      </c>
      <c r="E34" s="68">
        <f>D34-F34</f>
        <v>3482.9268292682927</v>
      </c>
      <c r="F34" s="67">
        <f>(J34-I34)/(J34+K34)*D34</f>
        <v>17.073170731707332</v>
      </c>
      <c r="G34" s="69">
        <v>0</v>
      </c>
      <c r="I34" s="1">
        <v>3.255</v>
      </c>
      <c r="J34" s="70">
        <f>J32</f>
        <v>3.275</v>
      </c>
      <c r="K34" s="70">
        <f>K32</f>
        <v>0.825</v>
      </c>
      <c r="L34" s="1"/>
      <c r="M34" s="71">
        <f t="shared" si="2"/>
        <v>7716.1854706433005</v>
      </c>
      <c r="N34" s="72">
        <f t="shared" si="3"/>
        <v>7678.545541518211</v>
      </c>
      <c r="O34" s="72">
        <f t="shared" si="4"/>
        <v>37.6399291250893</v>
      </c>
      <c r="P34" s="73">
        <f t="shared" si="5"/>
        <v>0</v>
      </c>
    </row>
    <row r="35" spans="1:16" ht="9" customHeight="1">
      <c r="A35" s="1"/>
      <c r="B35" s="65">
        <v>0</v>
      </c>
      <c r="C35" s="66" t="s">
        <v>76</v>
      </c>
      <c r="D35" s="67">
        <f>B35*1000</f>
        <v>0</v>
      </c>
      <c r="E35" s="68">
        <f>D35-F35</f>
        <v>0</v>
      </c>
      <c r="F35" s="67">
        <f>(J35-I35)/(J35+K35)*D35</f>
        <v>0</v>
      </c>
      <c r="G35" s="69">
        <v>0</v>
      </c>
      <c r="I35" s="1">
        <v>3.255</v>
      </c>
      <c r="J35" s="70">
        <f>J32</f>
        <v>3.275</v>
      </c>
      <c r="K35" s="70">
        <f>K32</f>
        <v>0.825</v>
      </c>
      <c r="L35" s="1"/>
      <c r="M35" s="71">
        <f t="shared" si="2"/>
        <v>0</v>
      </c>
      <c r="N35" s="72">
        <f t="shared" si="3"/>
        <v>0</v>
      </c>
      <c r="O35" s="72">
        <f t="shared" si="4"/>
        <v>0</v>
      </c>
      <c r="P35" s="73">
        <f t="shared" si="5"/>
        <v>0</v>
      </c>
    </row>
    <row r="36" spans="1:16" ht="9" customHeight="1">
      <c r="A36" s="1">
        <v>-930</v>
      </c>
      <c r="B36" s="65">
        <v>0</v>
      </c>
      <c r="C36" s="66" t="s">
        <v>26</v>
      </c>
      <c r="D36" s="67">
        <f>B36*A36</f>
        <v>0</v>
      </c>
      <c r="E36" s="68">
        <f>D36-F36</f>
        <v>0</v>
      </c>
      <c r="F36" s="67">
        <f>(J36-I36)/(J36+K36)*D36</f>
        <v>0</v>
      </c>
      <c r="G36" s="69">
        <v>0</v>
      </c>
      <c r="I36" s="1">
        <v>5.35</v>
      </c>
      <c r="J36" s="70">
        <f>J35</f>
        <v>3.275</v>
      </c>
      <c r="K36" s="70">
        <f>K35</f>
        <v>0.825</v>
      </c>
      <c r="L36" s="1"/>
      <c r="M36" s="71">
        <f t="shared" si="2"/>
        <v>0</v>
      </c>
      <c r="N36" s="72">
        <f t="shared" si="3"/>
        <v>0</v>
      </c>
      <c r="O36" s="72">
        <f t="shared" si="4"/>
        <v>0</v>
      </c>
      <c r="P36" s="73">
        <f t="shared" si="5"/>
        <v>0</v>
      </c>
    </row>
    <row r="37" spans="1:16" ht="9" customHeight="1">
      <c r="A37" s="1">
        <v>-1200</v>
      </c>
      <c r="B37" s="65">
        <v>0</v>
      </c>
      <c r="C37" s="66" t="s">
        <v>27</v>
      </c>
      <c r="D37" s="67">
        <f>B37*A37</f>
        <v>0</v>
      </c>
      <c r="E37" s="68">
        <f>D37-F37</f>
        <v>0</v>
      </c>
      <c r="F37" s="67">
        <f>(J37-I37)/(J37+K37)*D37</f>
        <v>0</v>
      </c>
      <c r="G37" s="69">
        <v>0</v>
      </c>
      <c r="I37" s="1">
        <v>-3</v>
      </c>
      <c r="J37" s="70">
        <f>J36</f>
        <v>3.275</v>
      </c>
      <c r="K37" s="70">
        <f>K36</f>
        <v>0.825</v>
      </c>
      <c r="L37" s="1"/>
      <c r="M37" s="71">
        <f t="shared" si="2"/>
        <v>0</v>
      </c>
      <c r="N37" s="72">
        <f t="shared" si="3"/>
        <v>0</v>
      </c>
      <c r="O37" s="72">
        <f t="shared" si="4"/>
        <v>0</v>
      </c>
      <c r="P37" s="73">
        <f t="shared" si="5"/>
        <v>0</v>
      </c>
    </row>
    <row r="38" spans="1:16" ht="9" customHeight="1">
      <c r="A38" s="1"/>
      <c r="B38" s="65">
        <v>4</v>
      </c>
      <c r="C38" s="66" t="s">
        <v>28</v>
      </c>
      <c r="D38" s="67">
        <v>0</v>
      </c>
      <c r="E38" s="74">
        <f>G38*(K38+E72)/(J38+K38)*(-1)</f>
        <v>-2634.6288897044415</v>
      </c>
      <c r="F38" s="75">
        <f>(G38+E38)*(-1)</f>
        <v>-822.0042135877857</v>
      </c>
      <c r="G38" s="76">
        <f>E69*B38*0.6671/E71*1000</f>
        <v>3456.633103292227</v>
      </c>
      <c r="I38" s="1"/>
      <c r="J38" s="70">
        <f>J36</f>
        <v>3.275</v>
      </c>
      <c r="K38" s="70">
        <f>K36</f>
        <v>0.825</v>
      </c>
      <c r="L38" s="1"/>
      <c r="M38" s="71">
        <f t="shared" si="2"/>
        <v>0</v>
      </c>
      <c r="N38" s="72">
        <f t="shared" si="3"/>
        <v>-5808.367188364144</v>
      </c>
      <c r="O38" s="72">
        <f t="shared" si="4"/>
        <v>-1812.2105627696126</v>
      </c>
      <c r="P38" s="73">
        <f t="shared" si="5"/>
        <v>7620.577751133756</v>
      </c>
    </row>
    <row r="39" spans="1:16" ht="9" customHeight="1">
      <c r="A39" s="1"/>
      <c r="B39" s="81"/>
      <c r="C39" s="84" t="s">
        <v>29</v>
      </c>
      <c r="D39" s="83"/>
      <c r="E39" s="68"/>
      <c r="F39" s="67"/>
      <c r="G39" s="76"/>
      <c r="H39" s="1"/>
      <c r="I39" s="1"/>
      <c r="J39" s="70">
        <f aca="true" t="shared" si="6" ref="J39:K41">J38</f>
        <v>3.275</v>
      </c>
      <c r="K39" s="70">
        <f t="shared" si="6"/>
        <v>0.825</v>
      </c>
      <c r="L39" s="1"/>
      <c r="M39" s="71"/>
      <c r="N39" s="72"/>
      <c r="O39" s="72"/>
      <c r="P39" s="73"/>
    </row>
    <row r="40" spans="1:16" ht="9" customHeight="1">
      <c r="A40" s="1">
        <v>1.485</v>
      </c>
      <c r="B40" s="65">
        <v>15</v>
      </c>
      <c r="C40" s="80" t="s">
        <v>72</v>
      </c>
      <c r="D40" s="83">
        <v>0</v>
      </c>
      <c r="E40" s="68">
        <f>(E71-E72-K40)*G40/(J40+K40)</f>
        <v>-3512.1330356871854</v>
      </c>
      <c r="F40" s="67">
        <f>(E40+G40)*(-1)</f>
        <v>6032.2144928656</v>
      </c>
      <c r="G40" s="76">
        <f>A40/E71*B40*1000*(-1)</f>
        <v>-2520.081457178414</v>
      </c>
      <c r="H40" s="1"/>
      <c r="I40" s="1"/>
      <c r="J40" s="70">
        <f t="shared" si="6"/>
        <v>3.275</v>
      </c>
      <c r="K40" s="70">
        <f t="shared" si="6"/>
        <v>0.825</v>
      </c>
      <c r="L40" s="1"/>
      <c r="M40" s="71">
        <f t="shared" si="2"/>
        <v>0</v>
      </c>
      <c r="N40" s="72">
        <f t="shared" si="3"/>
        <v>-7742.934257410231</v>
      </c>
      <c r="O40" s="72">
        <f t="shared" si="4"/>
        <v>13298.767378758139</v>
      </c>
      <c r="P40" s="73">
        <f t="shared" si="5"/>
        <v>-5555.833121347907</v>
      </c>
    </row>
    <row r="41" spans="1:16" ht="9" customHeight="1">
      <c r="A41" s="1">
        <v>1.485</v>
      </c>
      <c r="B41" s="65">
        <v>0</v>
      </c>
      <c r="C41" s="66" t="s">
        <v>73</v>
      </c>
      <c r="D41" s="83">
        <v>0</v>
      </c>
      <c r="E41" s="68">
        <f>(E71-E72-K41)*G41/(J41+K41)</f>
        <v>0</v>
      </c>
      <c r="F41" s="67">
        <f>(E41+G41)*(-1)</f>
        <v>0</v>
      </c>
      <c r="G41" s="76">
        <f>A41/E71*B41*1000</f>
        <v>0</v>
      </c>
      <c r="H41" s="1"/>
      <c r="I41" s="1"/>
      <c r="J41" s="70">
        <f t="shared" si="6"/>
        <v>3.275</v>
      </c>
      <c r="K41" s="70">
        <f t="shared" si="6"/>
        <v>0.825</v>
      </c>
      <c r="L41" s="1"/>
      <c r="M41" s="71">
        <f t="shared" si="2"/>
        <v>0</v>
      </c>
      <c r="N41" s="72">
        <f t="shared" si="3"/>
        <v>0</v>
      </c>
      <c r="O41" s="72">
        <f t="shared" si="4"/>
        <v>0</v>
      </c>
      <c r="P41" s="73">
        <f t="shared" si="5"/>
        <v>0</v>
      </c>
    </row>
    <row r="42" spans="1:16" ht="9" customHeight="1">
      <c r="A42" s="1"/>
      <c r="B42" s="85"/>
      <c r="C42" s="80" t="s">
        <v>30</v>
      </c>
      <c r="D42" s="83"/>
      <c r="E42" s="68"/>
      <c r="F42" s="67"/>
      <c r="G42" s="76"/>
      <c r="H42" s="1"/>
      <c r="I42" s="70"/>
      <c r="J42" s="70"/>
      <c r="K42" s="1"/>
      <c r="L42" s="1"/>
      <c r="M42" s="77"/>
      <c r="N42" s="78"/>
      <c r="O42" s="78"/>
      <c r="P42" s="79"/>
    </row>
    <row r="43" spans="1:16" ht="9" customHeight="1" thickBot="1">
      <c r="A43" s="1"/>
      <c r="B43" s="86"/>
      <c r="C43" s="87" t="s">
        <v>31</v>
      </c>
      <c r="D43" s="88"/>
      <c r="E43" s="89"/>
      <c r="F43" s="88"/>
      <c r="G43" s="90"/>
      <c r="H43" s="1"/>
      <c r="I43" s="70"/>
      <c r="J43" s="70"/>
      <c r="K43" s="1"/>
      <c r="L43" s="1"/>
      <c r="M43" s="91"/>
      <c r="N43" s="92"/>
      <c r="O43" s="92"/>
      <c r="P43" s="93"/>
    </row>
    <row r="44" spans="1:16" ht="9" customHeight="1">
      <c r="A44" s="1"/>
      <c r="B44" s="22"/>
      <c r="C44" s="3" t="s">
        <v>0</v>
      </c>
      <c r="D44" s="94"/>
      <c r="E44" s="3"/>
      <c r="F44" s="94"/>
      <c r="G44" s="23"/>
      <c r="H44" s="1"/>
      <c r="I44" s="70"/>
      <c r="J44" s="70"/>
      <c r="K44" s="1"/>
      <c r="L44" s="1"/>
      <c r="M44" s="102"/>
      <c r="N44" s="102"/>
      <c r="O44" s="102"/>
      <c r="P44" s="102"/>
    </row>
    <row r="45" spans="1:16" ht="9" customHeight="1">
      <c r="A45" s="1"/>
      <c r="B45" s="10"/>
      <c r="C45" s="49" t="s">
        <v>32</v>
      </c>
      <c r="D45" s="95">
        <f>SUM(D14,D17:D43)</f>
        <v>50123.299999999996</v>
      </c>
      <c r="E45" s="95">
        <f>SUM(E14,E17:E43)</f>
        <v>17925.359748481642</v>
      </c>
      <c r="F45" s="95">
        <f>SUM(F14,F17:F43)</f>
        <v>17836.93112152628</v>
      </c>
      <c r="G45" s="96">
        <f>SUM(G14,G17:G43)</f>
        <v>14361.009129992079</v>
      </c>
      <c r="H45" s="1"/>
      <c r="I45" s="70"/>
      <c r="J45" s="70"/>
      <c r="K45" s="1"/>
      <c r="L45" s="1"/>
      <c r="M45" s="106"/>
      <c r="N45" s="106"/>
      <c r="O45" s="106"/>
      <c r="P45" s="106"/>
    </row>
    <row r="46" spans="1:16" ht="9" customHeight="1" thickBot="1">
      <c r="A46" s="1"/>
      <c r="B46" s="17"/>
      <c r="C46" s="97" t="s">
        <v>33</v>
      </c>
      <c r="D46" s="98">
        <f>D45*2.2045855</f>
        <v>110501.10039214998</v>
      </c>
      <c r="E46" s="98">
        <f>E45*2.2045855</f>
        <v>39517.98818378627</v>
      </c>
      <c r="F46" s="98">
        <f>F45*2.2045855</f>
        <v>39323.03971501557</v>
      </c>
      <c r="G46" s="99">
        <f>G45*2.2045855</f>
        <v>31660.07249334815</v>
      </c>
      <c r="H46" s="1"/>
      <c r="I46" s="70"/>
      <c r="J46" s="70"/>
      <c r="K46" s="1"/>
      <c r="L46" s="1"/>
      <c r="M46" s="106"/>
      <c r="N46" s="106"/>
      <c r="O46" s="106"/>
      <c r="P46" s="106"/>
    </row>
    <row r="47" spans="1:16" ht="9.75" customHeight="1">
      <c r="A47" s="1"/>
      <c r="B47" s="22"/>
      <c r="C47" s="100" t="s">
        <v>34</v>
      </c>
      <c r="D47" s="101">
        <f>E45/2000</f>
        <v>8.962679874240822</v>
      </c>
      <c r="E47" s="102">
        <f aca="true" t="shared" si="7" ref="E47:E53">D47*2204.5855</f>
        <v>19758.99409189314</v>
      </c>
      <c r="F47" s="103" t="s">
        <v>35</v>
      </c>
      <c r="G47" s="23"/>
      <c r="H47" s="1"/>
      <c r="I47" s="70"/>
      <c r="J47" s="70"/>
      <c r="K47" s="1"/>
      <c r="L47" s="1"/>
      <c r="M47" s="106"/>
      <c r="N47" s="106"/>
      <c r="O47" s="106"/>
      <c r="P47" s="106"/>
    </row>
    <row r="48" spans="1:16" ht="9.75" customHeight="1">
      <c r="A48" s="1"/>
      <c r="B48" s="10"/>
      <c r="C48" s="104" t="s">
        <v>36</v>
      </c>
      <c r="D48" s="105">
        <f>E45/2000</f>
        <v>8.962679874240822</v>
      </c>
      <c r="E48" s="106">
        <f t="shared" si="7"/>
        <v>19758.99409189314</v>
      </c>
      <c r="F48" s="107" t="s">
        <v>37</v>
      </c>
      <c r="G48" s="108">
        <v>1.65</v>
      </c>
      <c r="H48" s="1"/>
      <c r="I48" s="70"/>
      <c r="J48" s="70"/>
      <c r="K48" s="1"/>
      <c r="L48" s="1"/>
      <c r="M48" s="106"/>
      <c r="N48" s="106"/>
      <c r="O48" s="106"/>
      <c r="P48" s="106"/>
    </row>
    <row r="49" spans="1:16" ht="9.75" customHeight="1">
      <c r="A49" s="1"/>
      <c r="B49" s="10"/>
      <c r="C49" s="104" t="s">
        <v>38</v>
      </c>
      <c r="D49" s="105">
        <f>F45/2000</f>
        <v>8.91846556076314</v>
      </c>
      <c r="E49" s="106">
        <f t="shared" si="7"/>
        <v>19661.51985750779</v>
      </c>
      <c r="F49" s="107" t="s">
        <v>39</v>
      </c>
      <c r="G49" s="108">
        <v>2.45</v>
      </c>
      <c r="H49" s="1"/>
      <c r="I49" s="70"/>
      <c r="J49" s="70"/>
      <c r="K49" s="1"/>
      <c r="L49" s="1"/>
      <c r="M49" s="106"/>
      <c r="N49" s="106"/>
      <c r="O49" s="106"/>
      <c r="P49" s="106"/>
    </row>
    <row r="50" spans="1:16" ht="9.75" customHeight="1">
      <c r="A50" s="1"/>
      <c r="B50" s="10"/>
      <c r="C50" s="104" t="s">
        <v>40</v>
      </c>
      <c r="D50" s="105">
        <f>F45/2000</f>
        <v>8.91846556076314</v>
      </c>
      <c r="E50" s="106">
        <f t="shared" si="7"/>
        <v>19661.51985750779</v>
      </c>
      <c r="F50" s="107" t="s">
        <v>41</v>
      </c>
      <c r="G50" s="108">
        <v>1.65</v>
      </c>
      <c r="H50" s="1"/>
      <c r="I50" s="1"/>
      <c r="J50" s="1"/>
      <c r="K50" s="1"/>
      <c r="L50" s="1"/>
      <c r="M50" s="106"/>
      <c r="N50" s="106"/>
      <c r="O50" s="106"/>
      <c r="P50" s="106"/>
    </row>
    <row r="51" spans="1:16" ht="9.75" customHeight="1">
      <c r="A51" s="1"/>
      <c r="B51" s="10"/>
      <c r="C51" s="104" t="s">
        <v>42</v>
      </c>
      <c r="D51" s="105">
        <f>G45/3000</f>
        <v>4.787003043330693</v>
      </c>
      <c r="E51" s="106">
        <f t="shared" si="7"/>
        <v>10553.35749778272</v>
      </c>
      <c r="F51" s="107" t="s">
        <v>43</v>
      </c>
      <c r="G51" s="108">
        <f>E71-E72-1.65-(G52)</f>
        <v>3.5090000000000012</v>
      </c>
      <c r="H51" s="1"/>
      <c r="I51" s="1"/>
      <c r="J51" s="1"/>
      <c r="K51" s="1">
        <f>(G51*3.281)</f>
        <v>11.513029000000005</v>
      </c>
      <c r="L51" s="1" t="s">
        <v>88</v>
      </c>
      <c r="M51" s="106"/>
      <c r="N51" s="106"/>
      <c r="O51" s="106"/>
      <c r="P51" s="106"/>
    </row>
    <row r="52" spans="1:12" ht="9.75" customHeight="1">
      <c r="A52" s="1"/>
      <c r="B52" s="10"/>
      <c r="C52" s="104" t="s">
        <v>44</v>
      </c>
      <c r="D52" s="105">
        <f>G45/3000</f>
        <v>4.787003043330693</v>
      </c>
      <c r="E52" s="106">
        <f t="shared" si="7"/>
        <v>10553.35749778272</v>
      </c>
      <c r="F52" s="107" t="s">
        <v>45</v>
      </c>
      <c r="G52" s="119">
        <v>1.38</v>
      </c>
      <c r="H52" s="1"/>
      <c r="I52" s="1"/>
      <c r="J52" s="7"/>
      <c r="K52" s="7"/>
      <c r="L52" s="8"/>
    </row>
    <row r="53" spans="1:12" ht="9.75" customHeight="1" thickBot="1">
      <c r="A53" s="1"/>
      <c r="B53" s="17"/>
      <c r="C53" s="109" t="s">
        <v>102</v>
      </c>
      <c r="D53" s="128">
        <f>G45/3000</f>
        <v>4.787003043330693</v>
      </c>
      <c r="E53" s="129">
        <f t="shared" si="7"/>
        <v>10553.35749778272</v>
      </c>
      <c r="F53" s="130" t="s">
        <v>103</v>
      </c>
      <c r="G53" s="131">
        <v>1.38</v>
      </c>
      <c r="H53" s="1"/>
      <c r="I53" s="1"/>
      <c r="J53" s="7"/>
      <c r="K53" s="7"/>
      <c r="L53" s="8"/>
    </row>
    <row r="54" spans="1:12" ht="9.75" customHeight="1">
      <c r="A54" s="1"/>
      <c r="B54" s="1"/>
      <c r="C54" s="1" t="s">
        <v>0</v>
      </c>
      <c r="D54" s="1"/>
      <c r="E54" s="1"/>
      <c r="F54" s="1"/>
      <c r="G54" s="1"/>
      <c r="H54" s="1"/>
      <c r="I54" s="1"/>
      <c r="J54" s="7"/>
      <c r="K54" s="7"/>
      <c r="L54" s="8"/>
    </row>
    <row r="55" spans="1:12" ht="9.75" customHeight="1">
      <c r="A55" s="1"/>
      <c r="B55" s="1"/>
      <c r="C55" s="1"/>
      <c r="D55" s="1"/>
      <c r="E55" s="1"/>
      <c r="F55" s="1" t="s">
        <v>46</v>
      </c>
      <c r="G55" s="1"/>
      <c r="H55" s="1"/>
      <c r="I55" s="1"/>
      <c r="J55" s="7"/>
      <c r="K55" s="7"/>
      <c r="L55" s="8"/>
    </row>
    <row r="56" spans="1:12" ht="9.75" customHeight="1">
      <c r="A56" s="1"/>
      <c r="B56" s="1"/>
      <c r="C56" s="1" t="s">
        <v>47</v>
      </c>
      <c r="D56" s="1"/>
      <c r="E56" s="1"/>
      <c r="F56" s="1" t="s">
        <v>48</v>
      </c>
      <c r="G56" s="1" t="s">
        <v>49</v>
      </c>
      <c r="H56" s="1"/>
      <c r="I56" s="1"/>
      <c r="J56" s="7"/>
      <c r="K56" s="7"/>
      <c r="L56" s="8"/>
    </row>
    <row r="57" spans="1:12" ht="9.75" customHeight="1">
      <c r="A57" s="1"/>
      <c r="B57" s="1"/>
      <c r="C57" s="110" t="s">
        <v>50</v>
      </c>
      <c r="D57" s="111">
        <f>D47+D48</f>
        <v>17.925359748481643</v>
      </c>
      <c r="E57" s="1">
        <f aca="true" t="shared" si="8" ref="E57:E65">IF(D57&gt;F57,"----------&gt;&gt;","")</f>
      </c>
      <c r="F57" s="111">
        <f>G48*3+15+(E74-2.5)*10</f>
        <v>20.449999999999996</v>
      </c>
      <c r="G57" s="111">
        <f>G48*3+18</f>
        <v>22.95</v>
      </c>
      <c r="H57" s="1">
        <f aca="true" t="shared" si="9" ref="H57:H65">IF(D57&gt;G57,"&lt;&lt;----","")</f>
      </c>
      <c r="I57" s="1"/>
      <c r="J57" s="7"/>
      <c r="K57" s="7"/>
      <c r="L57" s="8"/>
    </row>
    <row r="58" spans="1:12" ht="9.75" customHeight="1">
      <c r="A58" s="1"/>
      <c r="B58" s="1"/>
      <c r="C58" s="110" t="s">
        <v>51</v>
      </c>
      <c r="D58" s="111">
        <f>SUM(D47:D49)</f>
        <v>26.843825309244785</v>
      </c>
      <c r="E58" s="1">
        <f t="shared" si="8"/>
      </c>
      <c r="F58" s="111">
        <f>(SUM(G48:G49))*3+15+(E74-2.5)*10</f>
        <v>27.799999999999997</v>
      </c>
      <c r="G58" s="111">
        <f>SUM(G48:G49)*3+18</f>
        <v>30.299999999999997</v>
      </c>
      <c r="H58" s="1">
        <f t="shared" si="9"/>
      </c>
      <c r="I58" s="1"/>
      <c r="J58" s="7"/>
      <c r="K58" s="7"/>
      <c r="L58" s="8"/>
    </row>
    <row r="59" spans="1:12" ht="9.75" customHeight="1">
      <c r="A59" s="1"/>
      <c r="B59" s="1"/>
      <c r="C59" s="110" t="s">
        <v>52</v>
      </c>
      <c r="D59" s="111">
        <f>SUM(D47:D50)</f>
        <v>35.762290870007924</v>
      </c>
      <c r="E59" s="1" t="str">
        <f t="shared" si="8"/>
        <v>----------&gt;&gt;</v>
      </c>
      <c r="F59" s="111">
        <f>(SUM(G48:G50))*3+15+(E74-2.5)*10</f>
        <v>32.75</v>
      </c>
      <c r="G59" s="111">
        <f>SUM(G48:G50)*3+18</f>
        <v>35.25</v>
      </c>
      <c r="H59" s="1" t="str">
        <f t="shared" si="9"/>
        <v>&lt;&lt;----</v>
      </c>
      <c r="I59" s="1"/>
      <c r="J59" s="7"/>
      <c r="K59" s="7"/>
      <c r="L59" s="8"/>
    </row>
    <row r="60" spans="1:12" ht="9.75" customHeight="1">
      <c r="A60" s="1"/>
      <c r="B60" s="1"/>
      <c r="C60" s="110" t="s">
        <v>53</v>
      </c>
      <c r="D60" s="111">
        <f>SUM(D47:D52)</f>
        <v>45.33629695666931</v>
      </c>
      <c r="E60" s="1">
        <f t="shared" si="8"/>
      </c>
      <c r="F60" s="111">
        <f>(SUM(G48:G52))*3+15+(E74-2.5)*10</f>
        <v>47.417</v>
      </c>
      <c r="G60" s="111">
        <f>SUM(G48:G52)*3+18</f>
        <v>49.917</v>
      </c>
      <c r="H60" s="1">
        <f t="shared" si="9"/>
      </c>
      <c r="I60" s="1"/>
      <c r="J60" s="7"/>
      <c r="K60" s="7"/>
      <c r="L60" s="8"/>
    </row>
    <row r="61" spans="1:12" ht="9.75" customHeight="1">
      <c r="A61" s="1"/>
      <c r="B61" s="1"/>
      <c r="C61" s="110" t="s">
        <v>54</v>
      </c>
      <c r="D61" s="111">
        <f>SUM(D48:D50)</f>
        <v>26.799610995767104</v>
      </c>
      <c r="E61" s="1">
        <f t="shared" si="8"/>
      </c>
      <c r="F61" s="111">
        <f>(SUM(G49:G50)*3+15+(E74-2.5)*10)</f>
        <v>27.799999999999997</v>
      </c>
      <c r="G61" s="111">
        <f>SUM(G49:G50)*3+18</f>
        <v>30.299999999999997</v>
      </c>
      <c r="H61" s="1">
        <f t="shared" si="9"/>
      </c>
      <c r="I61" s="1"/>
      <c r="J61" s="7"/>
      <c r="K61" s="7"/>
      <c r="L61" s="8"/>
    </row>
    <row r="62" spans="1:12" ht="9.75" customHeight="1">
      <c r="A62" s="1"/>
      <c r="B62" s="1"/>
      <c r="C62" s="110" t="s">
        <v>55</v>
      </c>
      <c r="D62" s="111">
        <f>SUM(D48:D52)</f>
        <v>36.37361708242849</v>
      </c>
      <c r="E62" s="1">
        <f t="shared" si="8"/>
      </c>
      <c r="F62" s="111">
        <f>(SUM(G49:G52))*3+15+(E74-2.5)*10</f>
        <v>42.467</v>
      </c>
      <c r="G62" s="111">
        <f>SUM(G49:G52)*3+18</f>
        <v>44.967</v>
      </c>
      <c r="H62" s="1">
        <f t="shared" si="9"/>
      </c>
      <c r="I62" s="1"/>
      <c r="J62" s="7"/>
      <c r="K62" s="7"/>
      <c r="L62" s="8"/>
    </row>
    <row r="63" spans="1:12" ht="9.75" customHeight="1">
      <c r="A63" s="1"/>
      <c r="B63" s="1"/>
      <c r="C63" s="110" t="s">
        <v>56</v>
      </c>
      <c r="D63" s="111">
        <f>SUM(D49:D50)</f>
        <v>17.83693112152628</v>
      </c>
      <c r="E63" s="1">
        <f t="shared" si="8"/>
      </c>
      <c r="F63" s="111">
        <f>G50*3+15+(E74-2.5)*10</f>
        <v>20.449999999999996</v>
      </c>
      <c r="G63" s="111">
        <f>G50*3+18</f>
        <v>22.95</v>
      </c>
      <c r="H63" s="1">
        <f t="shared" si="9"/>
      </c>
      <c r="I63" s="1"/>
      <c r="J63" s="7"/>
      <c r="K63" s="7"/>
      <c r="L63" s="8"/>
    </row>
    <row r="64" spans="1:12" ht="9.75" customHeight="1">
      <c r="A64" s="1"/>
      <c r="B64" s="1"/>
      <c r="C64" s="110" t="s">
        <v>57</v>
      </c>
      <c r="D64" s="111">
        <f>SUM(D49:D52)</f>
        <v>27.410937208187665</v>
      </c>
      <c r="E64" s="1">
        <f t="shared" si="8"/>
      </c>
      <c r="F64" s="111">
        <f>SUM(G50:G52)*3+15+(E74-2.5)*10</f>
        <v>35.117000000000004</v>
      </c>
      <c r="G64" s="111">
        <f>SUM(G50:G52)*3+18</f>
        <v>37.617000000000004</v>
      </c>
      <c r="H64" s="1">
        <f t="shared" si="9"/>
      </c>
      <c r="I64" s="1"/>
      <c r="J64" s="7"/>
      <c r="K64" s="7"/>
      <c r="L64" s="8"/>
    </row>
    <row r="65" spans="1:12" ht="9.75" customHeight="1">
      <c r="A65" s="1"/>
      <c r="B65" s="1"/>
      <c r="C65" s="110" t="s">
        <v>58</v>
      </c>
      <c r="D65" s="111">
        <f>SUM(D51:D52)</f>
        <v>9.574006086661386</v>
      </c>
      <c r="E65" s="1">
        <f t="shared" si="8"/>
      </c>
      <c r="F65" s="111">
        <f>(G52*3+15)+(E74-2.5)*10</f>
        <v>19.64</v>
      </c>
      <c r="G65" s="111">
        <f>G52*3+18</f>
        <v>22.14</v>
      </c>
      <c r="H65" s="1">
        <f t="shared" si="9"/>
      </c>
      <c r="I65" s="1"/>
      <c r="J65" s="7"/>
      <c r="K65" s="7"/>
      <c r="L65" s="8"/>
    </row>
    <row r="66" spans="1:12" ht="9.75" customHeight="1" thickBot="1">
      <c r="A66" s="1"/>
      <c r="B66" s="1"/>
      <c r="C66" s="1" t="s">
        <v>0</v>
      </c>
      <c r="D66" s="1"/>
      <c r="E66" s="1"/>
      <c r="F66" s="1"/>
      <c r="G66" s="1"/>
      <c r="H66" s="1"/>
      <c r="I66" s="1"/>
      <c r="J66" s="7"/>
      <c r="K66" s="7"/>
      <c r="L66" s="8"/>
    </row>
    <row r="67" spans="1:12" ht="9.75" customHeight="1">
      <c r="A67" s="1"/>
      <c r="B67" s="1"/>
      <c r="C67" s="22" t="s">
        <v>59</v>
      </c>
      <c r="D67" s="3" t="s">
        <v>60</v>
      </c>
      <c r="E67" s="112">
        <v>20.07</v>
      </c>
      <c r="F67" s="113">
        <v>1.79</v>
      </c>
      <c r="G67" s="3" t="s">
        <v>61</v>
      </c>
      <c r="H67" s="114">
        <f>E69-H68</f>
        <v>3.3499117547233848</v>
      </c>
      <c r="I67" s="1"/>
      <c r="J67" s="7"/>
      <c r="K67" s="7"/>
      <c r="L67" s="8"/>
    </row>
    <row r="68" spans="1:12" ht="9.75" customHeight="1">
      <c r="A68" s="1"/>
      <c r="B68" s="1"/>
      <c r="C68" s="10" t="s">
        <v>74</v>
      </c>
      <c r="D68" s="31" t="s">
        <v>60</v>
      </c>
      <c r="E68" s="120">
        <v>6.9</v>
      </c>
      <c r="F68" s="115">
        <v>0.94</v>
      </c>
      <c r="G68" s="31" t="s">
        <v>62</v>
      </c>
      <c r="H68" s="116">
        <f>E69*F69/E71+(G40+G41+G38)/1000</f>
        <v>8.100088245276615</v>
      </c>
      <c r="I68" s="1"/>
      <c r="J68" s="7"/>
      <c r="K68" s="7"/>
      <c r="L68" s="8"/>
    </row>
    <row r="69" spans="1:12" ht="9.75" customHeight="1">
      <c r="A69" s="1"/>
      <c r="B69" s="1"/>
      <c r="C69" s="10" t="s">
        <v>63</v>
      </c>
      <c r="D69" s="31" t="s">
        <v>60</v>
      </c>
      <c r="E69" s="120">
        <v>11.45</v>
      </c>
      <c r="F69" s="115">
        <v>5.53</v>
      </c>
      <c r="G69" s="31"/>
      <c r="H69" s="32"/>
      <c r="I69" s="1"/>
      <c r="J69" s="7"/>
      <c r="K69" s="7"/>
      <c r="L69" s="8"/>
    </row>
    <row r="70" spans="1:12" ht="9.75" customHeight="1">
      <c r="A70" s="1"/>
      <c r="B70" s="1"/>
      <c r="C70" s="10" t="s">
        <v>99</v>
      </c>
      <c r="D70" s="31" t="s">
        <v>64</v>
      </c>
      <c r="E70" s="121">
        <v>4.0823</v>
      </c>
      <c r="F70" s="115"/>
      <c r="G70" s="31"/>
      <c r="H70" s="32"/>
      <c r="I70" s="1"/>
      <c r="J70" s="7"/>
      <c r="K70" s="7"/>
      <c r="L70" s="8"/>
    </row>
    <row r="71" spans="1:14" ht="9.75" customHeight="1">
      <c r="A71" s="1"/>
      <c r="B71" s="1"/>
      <c r="C71" s="10" t="s">
        <v>98</v>
      </c>
      <c r="D71" s="31" t="s">
        <v>65</v>
      </c>
      <c r="E71" s="122">
        <v>8.839</v>
      </c>
      <c r="F71" s="123" t="s">
        <v>81</v>
      </c>
      <c r="G71" s="31" t="s">
        <v>66</v>
      </c>
      <c r="H71" s="116">
        <f>E67+E68+H67</f>
        <v>30.319911754723385</v>
      </c>
      <c r="I71" s="1"/>
      <c r="J71" s="7"/>
      <c r="K71" s="7"/>
      <c r="L71" s="8"/>
      <c r="N71" s="37" t="s">
        <v>104</v>
      </c>
    </row>
    <row r="72" spans="1:12" ht="9.75" customHeight="1">
      <c r="A72" s="1"/>
      <c r="B72" s="1"/>
      <c r="C72" s="10" t="s">
        <v>67</v>
      </c>
      <c r="D72" s="31" t="s">
        <v>65</v>
      </c>
      <c r="E72" s="115">
        <v>2.3</v>
      </c>
      <c r="F72" s="115"/>
      <c r="G72" s="31" t="s">
        <v>68</v>
      </c>
      <c r="H72" s="116">
        <f>(E67*F67+E68*F68+H67*E72)/H71</f>
        <v>1.652910385798087</v>
      </c>
      <c r="I72" s="1"/>
      <c r="J72" s="7"/>
      <c r="K72" s="7"/>
      <c r="L72" s="8"/>
    </row>
    <row r="73" spans="1:12" ht="9.75" customHeight="1">
      <c r="A73" s="1"/>
      <c r="B73" s="1"/>
      <c r="C73" s="10" t="s">
        <v>69</v>
      </c>
      <c r="D73" s="31" t="s">
        <v>65</v>
      </c>
      <c r="E73" s="115">
        <v>11.3</v>
      </c>
      <c r="F73" s="115"/>
      <c r="G73" s="31"/>
      <c r="H73" s="32"/>
      <c r="I73" s="1"/>
      <c r="J73" s="7"/>
      <c r="K73" s="7"/>
      <c r="L73" s="8"/>
    </row>
    <row r="74" spans="1:12" ht="9.75" customHeight="1" thickBot="1">
      <c r="A74" s="1"/>
      <c r="B74" s="1"/>
      <c r="C74" s="17" t="s">
        <v>70</v>
      </c>
      <c r="D74" s="18" t="s">
        <v>65</v>
      </c>
      <c r="E74" s="18">
        <v>2.55</v>
      </c>
      <c r="F74" s="18"/>
      <c r="G74" s="18"/>
      <c r="H74" s="60"/>
      <c r="I74" s="1"/>
      <c r="J74" s="7"/>
      <c r="K74" s="7"/>
      <c r="L74" s="8"/>
    </row>
    <row r="75" spans="1:12" ht="9.75" customHeight="1">
      <c r="A75" s="1"/>
      <c r="B75" s="1"/>
      <c r="C75" s="3"/>
      <c r="D75" s="3"/>
      <c r="E75" s="112"/>
      <c r="F75" s="113"/>
      <c r="G75" s="3"/>
      <c r="H75" s="113"/>
      <c r="I75" s="115"/>
      <c r="J75" s="7"/>
      <c r="K75" s="7"/>
      <c r="L75" s="8"/>
    </row>
    <row r="76" spans="1:12" ht="9.75" customHeight="1">
      <c r="A76" s="1"/>
      <c r="B76" s="1"/>
      <c r="C76" s="31"/>
      <c r="D76" s="31"/>
      <c r="E76" s="120"/>
      <c r="F76" s="115"/>
      <c r="G76" s="31"/>
      <c r="H76" s="115"/>
      <c r="I76" s="115"/>
      <c r="J76" s="7"/>
      <c r="K76" s="7"/>
      <c r="L76" s="8"/>
    </row>
    <row r="77" spans="1:12" ht="9.75" customHeight="1">
      <c r="A77" s="1"/>
      <c r="B77" s="1"/>
      <c r="C77" s="31"/>
      <c r="D77" s="31"/>
      <c r="E77" s="120"/>
      <c r="F77" s="115"/>
      <c r="G77" s="31"/>
      <c r="H77" s="31"/>
      <c r="I77" s="31"/>
      <c r="J77" s="7"/>
      <c r="K77" s="7"/>
      <c r="L77" s="117"/>
    </row>
    <row r="78" spans="1:12" ht="9.75" customHeight="1">
      <c r="A78" s="1"/>
      <c r="B78" s="1"/>
      <c r="C78" s="31"/>
      <c r="D78" s="31"/>
      <c r="E78" s="124"/>
      <c r="F78" s="115"/>
      <c r="G78" s="31"/>
      <c r="H78" s="31"/>
      <c r="I78" s="115"/>
      <c r="J78" s="7"/>
      <c r="K78" s="7"/>
      <c r="L78" s="8"/>
    </row>
    <row r="79" spans="1:14" ht="9.75" customHeight="1">
      <c r="A79" s="1"/>
      <c r="B79" s="1"/>
      <c r="C79" s="31"/>
      <c r="D79" s="31"/>
      <c r="E79" s="125"/>
      <c r="F79" s="123"/>
      <c r="G79" s="31"/>
      <c r="H79" s="115"/>
      <c r="I79" s="115"/>
      <c r="J79" s="7"/>
      <c r="K79" s="7"/>
      <c r="L79" s="8"/>
      <c r="N79" s="37"/>
    </row>
    <row r="80" spans="1:12" ht="9.75" customHeight="1">
      <c r="A80" s="1"/>
      <c r="B80" s="1"/>
      <c r="C80" s="31"/>
      <c r="D80" s="31"/>
      <c r="E80" s="115"/>
      <c r="F80" s="115"/>
      <c r="G80" s="31"/>
      <c r="H80" s="115"/>
      <c r="I80" s="115"/>
      <c r="J80" s="7"/>
      <c r="K80" s="7"/>
      <c r="L80" s="8"/>
    </row>
    <row r="81" spans="1:12" ht="9.75" customHeight="1">
      <c r="A81" s="1"/>
      <c r="B81" s="1"/>
      <c r="C81" s="31"/>
      <c r="D81" s="31"/>
      <c r="E81" s="115"/>
      <c r="F81" s="115"/>
      <c r="G81" s="31"/>
      <c r="H81" s="31"/>
      <c r="I81" s="31"/>
      <c r="J81" s="7"/>
      <c r="K81" s="7"/>
      <c r="L81" s="8"/>
    </row>
    <row r="82" spans="1:12" ht="9.75" customHeight="1">
      <c r="A82" s="1"/>
      <c r="B82" s="1"/>
      <c r="C82" s="31"/>
      <c r="D82" s="31"/>
      <c r="E82" s="124"/>
      <c r="F82" s="115"/>
      <c r="G82" s="31"/>
      <c r="H82" s="31"/>
      <c r="I82" s="31"/>
      <c r="J82" s="7"/>
      <c r="K82" s="7"/>
      <c r="L82" s="8"/>
    </row>
  </sheetData>
  <mergeCells count="4">
    <mergeCell ref="B6:C6"/>
    <mergeCell ref="D6:E6"/>
    <mergeCell ref="F6:G6"/>
    <mergeCell ref="B7:C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GMK4100/4115 weight sheet 3 axle boom dolly (XLS)</dc:title>
  <dc:subject/>
  <dc:creator>Gateway 2000 Licensed User.</dc:creator>
  <cp:keywords/>
  <dc:description/>
  <cp:lastModifiedBy>ca13805</cp:lastModifiedBy>
  <cp:lastPrinted>2007-06-08T12:18:40Z</cp:lastPrinted>
  <dcterms:created xsi:type="dcterms:W3CDTF">2000-03-28T15:53:13Z</dcterms:created>
  <dcterms:modified xsi:type="dcterms:W3CDTF">2009-03-20T18:50:59Z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9.00000000000000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