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Unprotected" sheetId="1" r:id="rId1"/>
    <sheet name="4100_2B" sheetId="2" r:id="rId2"/>
  </sheets>
  <definedNames>
    <definedName name="_xlnm.Print_Area" localSheetId="1">'4100_2B'!$A$1:$G$75</definedName>
  </definedNames>
  <calcPr fullCalcOnLoad="1"/>
</workbook>
</file>

<file path=xl/sharedStrings.xml><?xml version="1.0" encoding="utf-8"?>
<sst xmlns="http://schemas.openxmlformats.org/spreadsheetml/2006/main" count="273" uniqueCount="112">
  <si>
    <t xml:space="preserve"> </t>
  </si>
  <si>
    <t>file:</t>
  </si>
  <si>
    <t>updated:</t>
  </si>
  <si>
    <t>date:</t>
  </si>
  <si>
    <t>dept:</t>
  </si>
  <si>
    <t>For information only!</t>
  </si>
  <si>
    <t xml:space="preserve">                                                          Weight of boom dolly  ( t ) :</t>
  </si>
  <si>
    <t xml:space="preserve">                       Distance from boom pivot pin to centre of dolly (m):</t>
  </si>
  <si>
    <t>excluding all parts as shown below</t>
  </si>
  <si>
    <t>total</t>
  </si>
  <si>
    <t>2 front-</t>
  </si>
  <si>
    <t>2 rear-</t>
  </si>
  <si>
    <t>2 dolly-</t>
  </si>
  <si>
    <t>weight (kg)</t>
  </si>
  <si>
    <t>axles (kg)</t>
  </si>
  <si>
    <t xml:space="preserve">  Schwerp.</t>
  </si>
  <si>
    <t xml:space="preserve">  VA - DM</t>
  </si>
  <si>
    <t xml:space="preserve">  DM - HA</t>
  </si>
  <si>
    <t>weight for standard unit including dolly:</t>
  </si>
  <si>
    <t>plus:  (only the marked parts!)</t>
  </si>
  <si>
    <t>---</t>
  </si>
  <si>
    <t>8 * 8 * 8 drive/steer</t>
  </si>
  <si>
    <t>aux. hoist</t>
  </si>
  <si>
    <t>brackets for swingaway</t>
  </si>
  <si>
    <t>2nd oil cooler on superstructure</t>
  </si>
  <si>
    <t>add. weight for tyres 16.00 R25 XGC</t>
  </si>
  <si>
    <t>add. weight for tyres 20.5 R 25 XGC</t>
  </si>
  <si>
    <t>spare wheel 14.00 R25 XGC on dolly</t>
  </si>
  <si>
    <t>spare wheel 16.00 R25 XGC on dolly</t>
  </si>
  <si>
    <t>spare wheel 20.5 R25 XGC on dolly</t>
  </si>
  <si>
    <t>remove outriggers in front</t>
  </si>
  <si>
    <t>remove outriggers at the rear</t>
  </si>
  <si>
    <t>.. m telescope 1 extended</t>
  </si>
  <si>
    <t>boost for lift cylinder ( t ):</t>
  </si>
  <si>
    <t>( axle loads depend on a boom angle of 0 deg.;</t>
  </si>
  <si>
    <t>special equipment is required)</t>
  </si>
  <si>
    <t>Total weight including marked parts ( kg ):</t>
  </si>
  <si>
    <t>Total weight including marked parts ( lbs ):</t>
  </si>
  <si>
    <t>Axle loads in ( t ):                          1. axle:</t>
  </si>
  <si>
    <t>distance between axles (m):</t>
  </si>
  <si>
    <t>2. axle:</t>
  </si>
  <si>
    <t>axle 1 - 2:</t>
  </si>
  <si>
    <t>3. axle:</t>
  </si>
  <si>
    <t>axle 2 - 3:</t>
  </si>
  <si>
    <t>4. axle:</t>
  </si>
  <si>
    <t>axle 3 - 4:</t>
  </si>
  <si>
    <t>5. axle:</t>
  </si>
  <si>
    <t>axle 4 - 5:</t>
  </si>
  <si>
    <t>6. axle:</t>
  </si>
  <si>
    <t>axle 5 - 6:</t>
  </si>
  <si>
    <t>allowed in:</t>
  </si>
  <si>
    <t>Axle loads for groups of axles ( t ):</t>
  </si>
  <si>
    <t>Australia</t>
  </si>
  <si>
    <t>Canada (BC)</t>
  </si>
  <si>
    <t xml:space="preserve">  1.-2. axle:</t>
  </si>
  <si>
    <t xml:space="preserve">  1.-3. axle:</t>
  </si>
  <si>
    <t xml:space="preserve">  1.-4. axle:</t>
  </si>
  <si>
    <t xml:space="preserve">  1.-6. axle:</t>
  </si>
  <si>
    <t xml:space="preserve">  2.-4. axle:</t>
  </si>
  <si>
    <t xml:space="preserve">  2.-6. axle:</t>
  </si>
  <si>
    <t xml:space="preserve">  3.-4. axle:</t>
  </si>
  <si>
    <t xml:space="preserve">  3.-6. axle:</t>
  </si>
  <si>
    <t xml:space="preserve">  5.-6. axle:</t>
  </si>
  <si>
    <t>Fahrgestell 8*6*8</t>
  </si>
  <si>
    <t xml:space="preserve">     G * Xs</t>
  </si>
  <si>
    <t xml:space="preserve">      G Afa</t>
  </si>
  <si>
    <t xml:space="preserve">    G Dolly</t>
  </si>
  <si>
    <t>Ausleger mit Anteil W- Zyl.</t>
  </si>
  <si>
    <t>2- achs- Nachläufer</t>
  </si>
  <si>
    <t xml:space="preserve">        G</t>
  </si>
  <si>
    <t>Auflage ab Afa</t>
  </si>
  <si>
    <t xml:space="preserve">        m</t>
  </si>
  <si>
    <t>Zugfz.   G</t>
  </si>
  <si>
    <t>Abstand Drehm. bis Afa</t>
  </si>
  <si>
    <t>Zugfz.  Xs</t>
  </si>
  <si>
    <t>Auslegerlänge</t>
  </si>
  <si>
    <t>Kranbreite</t>
  </si>
  <si>
    <t>PRELIMINARY</t>
  </si>
  <si>
    <t>fixed counterweight 0,5 t in lieu of aux. hoist</t>
  </si>
  <si>
    <t>.. t extending force (max. 20 t)</t>
  </si>
  <si>
    <t>retracting force ( max. 11 t)</t>
  </si>
  <si>
    <t>Drehtisch mit Anteil W- Zyl., GG-Platte 1 t u. GG- Hubzyl.</t>
  </si>
  <si>
    <t>hose reel for swingaway</t>
  </si>
  <si>
    <t>...... t counterweight</t>
  </si>
  <si>
    <r>
      <t>Standard unit</t>
    </r>
    <r>
      <rPr>
        <sz val="11"/>
        <rFont val="Times New Roman"/>
        <family val="1"/>
      </rPr>
      <t xml:space="preserve"> with tyres 14.00 R25 XGC; 8 * 6 * 8; with driver; tanks filled</t>
    </r>
  </si>
  <si>
    <t xml:space="preserve"> Axle Loads GMK 4100 with 2- Axle Boom Dolly</t>
  </si>
  <si>
    <t>O/R pads on jack- cylinders (plastic)</t>
  </si>
  <si>
    <t>O/R pads on dolly (plastic)</t>
  </si>
  <si>
    <t>50- t- hook block on dolly</t>
  </si>
  <si>
    <t>fixed counterweight 3,5 t on turntable</t>
  </si>
  <si>
    <t>(6,0 - 10,0 m)</t>
  </si>
  <si>
    <t>hydraulic swingaway 10 to 17 m (32,8 to 55,8 ft)</t>
  </si>
  <si>
    <t>mechanic swingaway 10 to 17 m (32,8 to 55,8 ft)</t>
  </si>
  <si>
    <t>4100_2B</t>
  </si>
  <si>
    <t>TK - Si</t>
  </si>
  <si>
    <t>add. weight for decking 20.5" tires</t>
  </si>
  <si>
    <t>lb.</t>
  </si>
  <si>
    <t>ft.</t>
  </si>
  <si>
    <t>with 2- Axle boom dolly</t>
  </si>
  <si>
    <r>
      <t xml:space="preserve">Axle Loads GMK 4100 / </t>
    </r>
    <r>
      <rPr>
        <b/>
        <sz val="8"/>
        <color indexed="10"/>
        <rFont val="Arial"/>
        <family val="2"/>
      </rPr>
      <t>4115</t>
    </r>
    <r>
      <rPr>
        <b/>
        <sz val="8"/>
        <rFont val="Arial"/>
        <family val="2"/>
      </rPr>
      <t xml:space="preserve"> (kg/</t>
    </r>
    <r>
      <rPr>
        <b/>
        <sz val="8"/>
        <color indexed="10"/>
        <rFont val="Arial"/>
        <family val="2"/>
      </rPr>
      <t>lbs</t>
    </r>
    <r>
      <rPr>
        <b/>
        <sz val="8"/>
        <rFont val="Arial"/>
        <family val="2"/>
      </rPr>
      <t>)</t>
    </r>
  </si>
  <si>
    <t>Standard</t>
  </si>
  <si>
    <r>
      <t>Standard unit</t>
    </r>
    <r>
      <rPr>
        <sz val="8"/>
        <rFont val="Arial"/>
        <family val="2"/>
      </rPr>
      <t xml:space="preserve"> with tyres 14.00 R25 XGC on steel wheels; 8 * 6 * 8; with driver; tanks filled</t>
    </r>
  </si>
  <si>
    <t>Distance from boom pivot pin to centre of dolly (m):</t>
  </si>
  <si>
    <t xml:space="preserve">                                                          </t>
  </si>
  <si>
    <t>Weight of boom dolly (t):</t>
  </si>
  <si>
    <t>weight</t>
  </si>
  <si>
    <t>axles</t>
  </si>
  <si>
    <t>(lbs)</t>
  </si>
  <si>
    <t>Nelson 2 axle split tower</t>
  </si>
  <si>
    <t>Drawing 061108</t>
  </si>
  <si>
    <r>
      <t xml:space="preserve">Auflage ab Afa </t>
    </r>
    <r>
      <rPr>
        <sz val="8"/>
        <color indexed="10"/>
        <rFont val="Arial"/>
        <family val="2"/>
      </rPr>
      <t>(CL of Boom Pivot to CL of Dolly)</t>
    </r>
  </si>
  <si>
    <r>
      <t xml:space="preserve">2- achs- Nachläufer </t>
    </r>
    <r>
      <rPr>
        <sz val="8"/>
        <color indexed="10"/>
        <rFont val="Arial"/>
        <family val="2"/>
      </rPr>
      <t>(Boom Dolly Weight)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</si>
</sst>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E+00"/>
    <numFmt numFmtId="181" formatCode="#,##0.00&quot;DM&quot;;\(#,##0.00&quot;DM&quot;\)"/>
    <numFmt numFmtId="182" formatCode="#,##0&quot;DM&quot;;\(#,##0&quot;DM&quot;\)"/>
    <numFmt numFmtId="183" formatCode="d\.m\.yy"/>
    <numFmt numFmtId="184" formatCode="d\.m"/>
    <numFmt numFmtId="185" formatCode="d\.mmm\ yy"/>
    <numFmt numFmtId="186" formatCode="d\.mmm"/>
    <numFmt numFmtId="187" formatCode="d\.m\.yy\ h:mm"/>
    <numFmt numFmtId="188" formatCode="0.0"/>
    <numFmt numFmtId="189" formatCode="0.000"/>
    <numFmt numFmtId="190" formatCode="[$-409]dddd\,\ mmmm\ dd\,\ yyyy"/>
    <numFmt numFmtId="191" formatCode="[$-409]h:mm:ss\ AM/PM"/>
    <numFmt numFmtId="192" formatCode="[$-407]d/\ mmm/\ yy;@"/>
    <numFmt numFmtId="193" formatCode="mm/dd/yyyy"/>
    <numFmt numFmtId="194" formatCode="0.0000000"/>
    <numFmt numFmtId="195" formatCode="0.000000"/>
    <numFmt numFmtId="196" formatCode="0.00000"/>
    <numFmt numFmtId="197" formatCode="0.0000"/>
  </numFmts>
  <fonts count="2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0"/>
      <name val="Arial"/>
      <family val="0"/>
    </font>
    <font>
      <sz val="10"/>
      <name val="System"/>
      <family val="2"/>
    </font>
    <font>
      <i/>
      <sz val="12"/>
      <name val="System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name val="System"/>
      <family val="0"/>
    </font>
    <font>
      <sz val="9"/>
      <name val="System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ystem"/>
      <family val="0"/>
    </font>
    <font>
      <b/>
      <i/>
      <sz val="11"/>
      <name val="Times New Roman"/>
      <family val="1"/>
    </font>
    <font>
      <b/>
      <i/>
      <sz val="10"/>
      <name val="Times New Roman"/>
      <family val="0"/>
    </font>
    <font>
      <b/>
      <sz val="11"/>
      <name val="System"/>
      <family val="2"/>
    </font>
    <font>
      <sz val="8"/>
      <name val="System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2" xfId="0" applyNumberFormat="1" applyFont="1" applyBorder="1" applyAlignment="1" applyProtection="1">
      <alignment/>
      <protection/>
    </xf>
    <xf numFmtId="0" fontId="7" fillId="0" borderId="2" xfId="0" applyNumberFormat="1" applyFont="1" applyBorder="1" applyAlignment="1" applyProtection="1">
      <alignment horizontal="right"/>
      <protection/>
    </xf>
    <xf numFmtId="0" fontId="7" fillId="0" borderId="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4" xfId="0" applyNumberFormat="1" applyFont="1" applyBorder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right"/>
      <protection/>
    </xf>
    <xf numFmtId="14" fontId="7" fillId="0" borderId="5" xfId="0" applyNumberFormat="1" applyFont="1" applyBorder="1" applyAlignment="1" applyProtection="1">
      <alignment/>
      <protection/>
    </xf>
    <xf numFmtId="14" fontId="7" fillId="0" borderId="0" xfId="0" applyNumberFormat="1" applyFont="1" applyAlignment="1" applyProtection="1">
      <alignment horizontal="right"/>
      <protection/>
    </xf>
    <xf numFmtId="14" fontId="7" fillId="0" borderId="5" xfId="0" applyNumberFormat="1" applyFont="1" applyBorder="1" applyAlignment="1" applyProtection="1">
      <alignment horizontal="right"/>
      <protection/>
    </xf>
    <xf numFmtId="0" fontId="7" fillId="0" borderId="6" xfId="0" applyNumberFormat="1" applyFont="1" applyBorder="1" applyAlignment="1" applyProtection="1">
      <alignment/>
      <protection/>
    </xf>
    <xf numFmtId="0" fontId="7" fillId="0" borderId="7" xfId="0" applyNumberFormat="1" applyFont="1" applyBorder="1" applyAlignment="1" applyProtection="1">
      <alignment/>
      <protection/>
    </xf>
    <xf numFmtId="0" fontId="7" fillId="0" borderId="7" xfId="0" applyNumberFormat="1" applyFont="1" applyBorder="1" applyAlignment="1" applyProtection="1">
      <alignment horizontal="right"/>
      <protection/>
    </xf>
    <xf numFmtId="0" fontId="7" fillId="0" borderId="8" xfId="0" applyNumberFormat="1" applyFont="1" applyBorder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0" fontId="7" fillId="0" borderId="5" xfId="0" applyNumberFormat="1" applyFont="1" applyBorder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9" fillId="0" borderId="4" xfId="0" applyNumberFormat="1" applyFont="1" applyBorder="1" applyAlignment="1" applyProtection="1">
      <alignment/>
      <protection/>
    </xf>
    <xf numFmtId="0" fontId="18" fillId="0" borderId="9" xfId="0" applyNumberFormat="1" applyFont="1" applyBorder="1" applyAlignment="1" applyProtection="1" quotePrefix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13" fillId="0" borderId="4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5" xfId="0" applyNumberFormat="1" applyFont="1" applyBorder="1" applyAlignment="1" applyProtection="1">
      <alignment/>
      <protection/>
    </xf>
    <xf numFmtId="0" fontId="15" fillId="0" borderId="0" xfId="0" applyFont="1" applyAlignment="1" applyProtection="1" quotePrefix="1">
      <alignment horizontal="left"/>
      <protection/>
    </xf>
    <xf numFmtId="0" fontId="16" fillId="0" borderId="0" xfId="0" applyFont="1" applyAlignment="1" applyProtection="1">
      <alignment/>
      <protection/>
    </xf>
    <xf numFmtId="0" fontId="16" fillId="0" borderId="0" xfId="0" applyNumberFormat="1" applyFont="1" applyAlignment="1" applyProtection="1">
      <alignment/>
      <protection/>
    </xf>
    <xf numFmtId="0" fontId="16" fillId="0" borderId="5" xfId="0" applyNumberFormat="1" applyFont="1" applyBorder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17" fillId="0" borderId="0" xfId="0" applyFont="1" applyAlignment="1" applyProtection="1">
      <alignment/>
      <protection/>
    </xf>
    <xf numFmtId="189" fontId="15" fillId="0" borderId="0" xfId="0" applyNumberFormat="1" applyFont="1" applyAlignment="1" applyProtection="1">
      <alignment/>
      <protection/>
    </xf>
    <xf numFmtId="0" fontId="16" fillId="0" borderId="0" xfId="0" applyNumberFormat="1" applyFont="1" applyAlignment="1" applyProtection="1" quotePrefix="1">
      <alignment horizontal="left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12" xfId="0" applyNumberFormat="1" applyFont="1" applyBorder="1" applyAlignment="1" applyProtection="1">
      <alignment/>
      <protection/>
    </xf>
    <xf numFmtId="0" fontId="7" fillId="0" borderId="13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 applyProtection="1" quotePrefix="1">
      <alignment horizontal="center"/>
      <protection/>
    </xf>
    <xf numFmtId="0" fontId="7" fillId="0" borderId="5" xfId="0" applyNumberFormat="1" applyFont="1" applyBorder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1" fontId="8" fillId="0" borderId="13" xfId="0" applyNumberFormat="1" applyFont="1" applyBorder="1" applyAlignment="1" applyProtection="1">
      <alignment horizontal="center"/>
      <protection/>
    </xf>
    <xf numFmtId="1" fontId="8" fillId="0" borderId="0" xfId="0" applyNumberFormat="1" applyFont="1" applyAlignment="1" applyProtection="1">
      <alignment horizontal="center"/>
      <protection/>
    </xf>
    <xf numFmtId="1" fontId="8" fillId="0" borderId="5" xfId="0" applyNumberFormat="1" applyFont="1" applyBorder="1" applyAlignment="1" applyProtection="1">
      <alignment horizontal="center"/>
      <protection/>
    </xf>
    <xf numFmtId="1" fontId="13" fillId="0" borderId="13" xfId="0" applyNumberFormat="1" applyFont="1" applyBorder="1" applyAlignment="1" applyProtection="1">
      <alignment horizontal="center"/>
      <protection/>
    </xf>
    <xf numFmtId="1" fontId="13" fillId="0" borderId="0" xfId="0" applyNumberFormat="1" applyFont="1" applyAlignment="1" applyProtection="1">
      <alignment horizontal="center"/>
      <protection/>
    </xf>
    <xf numFmtId="1" fontId="13" fillId="0" borderId="5" xfId="0" applyNumberFormat="1" applyFont="1" applyBorder="1" applyAlignment="1" applyProtection="1">
      <alignment horizontal="center"/>
      <protection/>
    </xf>
    <xf numFmtId="0" fontId="13" fillId="0" borderId="14" xfId="0" applyNumberFormat="1" applyFont="1" applyBorder="1" applyAlignment="1" applyProtection="1">
      <alignment/>
      <protection/>
    </xf>
    <xf numFmtId="0" fontId="15" fillId="0" borderId="7" xfId="0" applyNumberFormat="1" applyFont="1" applyBorder="1" applyAlignment="1" applyProtection="1" quotePrefix="1">
      <alignment horizontal="left"/>
      <protection/>
    </xf>
    <xf numFmtId="0" fontId="13" fillId="0" borderId="15" xfId="0" applyNumberFormat="1" applyFont="1" applyBorder="1" applyAlignment="1" applyProtection="1">
      <alignment/>
      <protection/>
    </xf>
    <xf numFmtId="0" fontId="13" fillId="0" borderId="7" xfId="0" applyNumberFormat="1" applyFont="1" applyBorder="1" applyAlignment="1" applyProtection="1">
      <alignment/>
      <protection/>
    </xf>
    <xf numFmtId="0" fontId="13" fillId="0" borderId="8" xfId="0" applyNumberFormat="1" applyFont="1" applyBorder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7" fillId="0" borderId="16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/>
    </xf>
    <xf numFmtId="1" fontId="7" fillId="0" borderId="18" xfId="0" applyNumberFormat="1" applyFont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/>
      <protection/>
    </xf>
    <xf numFmtId="1" fontId="7" fillId="0" borderId="19" xfId="0" applyNumberFormat="1" applyFont="1" applyBorder="1" applyAlignment="1" applyProtection="1">
      <alignment horizontal="right"/>
      <protection/>
    </xf>
    <xf numFmtId="1" fontId="7" fillId="0" borderId="17" xfId="0" applyNumberFormat="1" applyFont="1" applyBorder="1" applyAlignment="1" applyProtection="1">
      <alignment horizontal="right"/>
      <protection/>
    </xf>
    <xf numFmtId="1" fontId="7" fillId="0" borderId="18" xfId="0" applyNumberFormat="1" applyFont="1" applyBorder="1" applyAlignment="1" applyProtection="1">
      <alignment horizontal="right"/>
      <protection/>
    </xf>
    <xf numFmtId="1" fontId="7" fillId="0" borderId="19" xfId="0" applyNumberFormat="1" applyFont="1" applyBorder="1" applyAlignment="1" applyProtection="1">
      <alignment/>
      <protection/>
    </xf>
    <xf numFmtId="0" fontId="7" fillId="0" borderId="17" xfId="0" applyNumberFormat="1" applyFont="1" applyBorder="1" applyAlignment="1" applyProtection="1" quotePrefix="1">
      <alignment horizontal="left"/>
      <protection/>
    </xf>
    <xf numFmtId="0" fontId="7" fillId="0" borderId="17" xfId="0" applyNumberFormat="1" applyFont="1" applyBorder="1" applyAlignment="1" applyProtection="1">
      <alignment horizontal="left"/>
      <protection/>
    </xf>
    <xf numFmtId="0" fontId="7" fillId="0" borderId="19" xfId="0" applyNumberFormat="1" applyFont="1" applyBorder="1" applyAlignment="1" applyProtection="1">
      <alignment horizontal="right"/>
      <protection/>
    </xf>
    <xf numFmtId="0" fontId="7" fillId="0" borderId="18" xfId="0" applyNumberFormat="1" applyFont="1" applyBorder="1" applyAlignment="1" applyProtection="1">
      <alignment/>
      <protection/>
    </xf>
    <xf numFmtId="0" fontId="8" fillId="0" borderId="17" xfId="0" applyNumberFormat="1" applyFont="1" applyBorder="1" applyAlignment="1" applyProtection="1">
      <alignment/>
      <protection/>
    </xf>
    <xf numFmtId="0" fontId="7" fillId="0" borderId="20" xfId="0" applyNumberFormat="1" applyFont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/>
      <protection/>
    </xf>
    <xf numFmtId="1" fontId="7" fillId="0" borderId="22" xfId="0" applyNumberFormat="1" applyFont="1" applyBorder="1" applyAlignment="1" applyProtection="1">
      <alignment/>
      <protection/>
    </xf>
    <xf numFmtId="1" fontId="7" fillId="0" borderId="21" xfId="0" applyNumberFormat="1" applyFont="1" applyBorder="1" applyAlignment="1" applyProtection="1">
      <alignment/>
      <protection/>
    </xf>
    <xf numFmtId="1" fontId="7" fillId="0" borderId="23" xfId="0" applyNumberFormat="1" applyFont="1" applyBorder="1" applyAlignment="1" applyProtection="1">
      <alignment/>
      <protection/>
    </xf>
    <xf numFmtId="0" fontId="7" fillId="0" borderId="13" xfId="0" applyNumberFormat="1" applyFont="1" applyBorder="1" applyAlignment="1" applyProtection="1">
      <alignment/>
      <protection/>
    </xf>
    <xf numFmtId="1" fontId="8" fillId="0" borderId="13" xfId="0" applyNumberFormat="1" applyFont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1" fontId="8" fillId="0" borderId="5" xfId="0" applyNumberFormat="1" applyFont="1" applyBorder="1" applyAlignment="1" applyProtection="1">
      <alignment/>
      <protection/>
    </xf>
    <xf numFmtId="0" fontId="19" fillId="0" borderId="0" xfId="0" applyNumberFormat="1" applyFont="1" applyAlignment="1" applyProtection="1" quotePrefix="1">
      <alignment horizontal="left"/>
      <protection/>
    </xf>
    <xf numFmtId="1" fontId="19" fillId="0" borderId="13" xfId="0" applyNumberFormat="1" applyFont="1" applyBorder="1" applyAlignment="1" applyProtection="1">
      <alignment/>
      <protection/>
    </xf>
    <xf numFmtId="0" fontId="7" fillId="0" borderId="1" xfId="0" applyNumberFormat="1" applyFont="1" applyBorder="1" applyAlignment="1" applyProtection="1">
      <alignment/>
      <protection/>
    </xf>
    <xf numFmtId="0" fontId="8" fillId="0" borderId="2" xfId="0" applyNumberFormat="1" applyFont="1" applyBorder="1" applyAlignment="1" applyProtection="1">
      <alignment horizontal="right"/>
      <protection/>
    </xf>
    <xf numFmtId="2" fontId="8" fillId="0" borderId="24" xfId="0" applyNumberFormat="1" applyFont="1" applyBorder="1" applyAlignment="1" applyProtection="1">
      <alignment horizontal="right"/>
      <protection/>
    </xf>
    <xf numFmtId="1" fontId="7" fillId="0" borderId="24" xfId="0" applyNumberFormat="1" applyFont="1" applyBorder="1" applyAlignment="1" applyProtection="1">
      <alignment/>
      <protection/>
    </xf>
    <xf numFmtId="0" fontId="7" fillId="0" borderId="25" xfId="0" applyNumberFormat="1" applyFont="1" applyBorder="1" applyAlignment="1" applyProtection="1" quotePrefix="1">
      <alignment horizontal="left"/>
      <protection/>
    </xf>
    <xf numFmtId="0" fontId="7" fillId="0" borderId="3" xfId="0" applyNumberFormat="1" applyFont="1" applyBorder="1" applyAlignment="1" applyProtection="1">
      <alignment/>
      <protection/>
    </xf>
    <xf numFmtId="0" fontId="8" fillId="0" borderId="0" xfId="0" applyNumberFormat="1" applyFont="1" applyAlignment="1" applyProtection="1">
      <alignment horizontal="right"/>
      <protection/>
    </xf>
    <xf numFmtId="2" fontId="8" fillId="0" borderId="13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/>
      <protection/>
    </xf>
    <xf numFmtId="2" fontId="7" fillId="0" borderId="26" xfId="0" applyNumberFormat="1" applyFont="1" applyBorder="1" applyAlignment="1" applyProtection="1" quotePrefix="1">
      <alignment horizontal="right"/>
      <protection/>
    </xf>
    <xf numFmtId="2" fontId="7" fillId="0" borderId="27" xfId="0" applyNumberFormat="1" applyFont="1" applyBorder="1" applyAlignment="1" applyProtection="1">
      <alignment horizontal="right"/>
      <protection/>
    </xf>
    <xf numFmtId="0" fontId="8" fillId="0" borderId="7" xfId="0" applyNumberFormat="1" applyFont="1" applyBorder="1" applyAlignment="1" applyProtection="1">
      <alignment horizontal="right"/>
      <protection/>
    </xf>
    <xf numFmtId="0" fontId="8" fillId="0" borderId="15" xfId="0" applyNumberFormat="1" applyFont="1" applyBorder="1" applyAlignment="1" applyProtection="1">
      <alignment/>
      <protection/>
    </xf>
    <xf numFmtId="2" fontId="7" fillId="0" borderId="28" xfId="0" applyNumberFormat="1" applyFont="1" applyBorder="1" applyAlignment="1" applyProtection="1">
      <alignment horizontal="right"/>
      <protection/>
    </xf>
    <xf numFmtId="0" fontId="7" fillId="0" borderId="29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 quotePrefix="1">
      <alignment horizontal="right"/>
      <protection/>
    </xf>
    <xf numFmtId="2" fontId="7" fillId="0" borderId="0" xfId="0" applyNumberFormat="1" applyFont="1" applyAlignment="1" applyProtection="1">
      <alignment/>
      <protection/>
    </xf>
    <xf numFmtId="0" fontId="7" fillId="0" borderId="1" xfId="0" applyNumberFormat="1" applyFont="1" applyBorder="1" applyAlignment="1" applyProtection="1" quotePrefix="1">
      <alignment horizontal="left"/>
      <protection/>
    </xf>
    <xf numFmtId="2" fontId="7" fillId="0" borderId="2" xfId="0" applyNumberFormat="1" applyFont="1" applyBorder="1" applyAlignment="1" applyProtection="1">
      <alignment/>
      <protection/>
    </xf>
    <xf numFmtId="189" fontId="7" fillId="0" borderId="2" xfId="0" applyNumberFormat="1" applyFont="1" applyBorder="1" applyAlignment="1" applyProtection="1">
      <alignment/>
      <protection/>
    </xf>
    <xf numFmtId="189" fontId="7" fillId="0" borderId="3" xfId="0" applyNumberFormat="1" applyFont="1" applyBorder="1" applyAlignment="1" applyProtection="1">
      <alignment/>
      <protection/>
    </xf>
    <xf numFmtId="0" fontId="7" fillId="0" borderId="4" xfId="0" applyNumberFormat="1" applyFont="1" applyBorder="1" applyAlignment="1" applyProtection="1" quotePrefix="1">
      <alignment horizontal="left"/>
      <protection/>
    </xf>
    <xf numFmtId="189" fontId="7" fillId="0" borderId="0" xfId="0" applyNumberFormat="1" applyFont="1" applyAlignment="1" applyProtection="1">
      <alignment/>
      <protection/>
    </xf>
    <xf numFmtId="189" fontId="7" fillId="0" borderId="5" xfId="0" applyNumberFormat="1" applyFont="1" applyBorder="1" applyAlignment="1" applyProtection="1">
      <alignment/>
      <protection/>
    </xf>
    <xf numFmtId="189" fontId="7" fillId="0" borderId="0" xfId="0" applyNumberFormat="1" applyFont="1" applyAlignment="1" applyProtection="1">
      <alignment horizontal="left"/>
      <protection/>
    </xf>
    <xf numFmtId="189" fontId="7" fillId="0" borderId="7" xfId="0" applyNumberFormat="1" applyFont="1" applyBorder="1" applyAlignment="1" applyProtection="1">
      <alignment/>
      <protection/>
    </xf>
    <xf numFmtId="0" fontId="7" fillId="0" borderId="8" xfId="0" applyNumberFormat="1" applyFont="1" applyBorder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7" fillId="2" borderId="16" xfId="0" applyNumberFormat="1" applyFont="1" applyFill="1" applyBorder="1" applyAlignment="1" applyProtection="1">
      <alignment/>
      <protection locked="0"/>
    </xf>
    <xf numFmtId="2" fontId="7" fillId="2" borderId="0" xfId="0" applyNumberFormat="1" applyFont="1" applyFill="1" applyAlignment="1" applyProtection="1">
      <alignment/>
      <protection locked="0"/>
    </xf>
    <xf numFmtId="189" fontId="7" fillId="2" borderId="0" xfId="0" applyNumberFormat="1" applyFont="1" applyFill="1" applyAlignment="1" applyProtection="1">
      <alignment/>
      <protection locked="0"/>
    </xf>
    <xf numFmtId="2" fontId="7" fillId="2" borderId="7" xfId="0" applyNumberFormat="1" applyFont="1" applyFill="1" applyBorder="1" applyAlignment="1" applyProtection="1">
      <alignment/>
      <protection locked="0"/>
    </xf>
    <xf numFmtId="2" fontId="7" fillId="2" borderId="27" xfId="0" applyNumberFormat="1" applyFont="1" applyFill="1" applyBorder="1" applyAlignment="1" applyProtection="1">
      <alignment horizontal="right"/>
      <protection locked="0"/>
    </xf>
    <xf numFmtId="0" fontId="22" fillId="3" borderId="0" xfId="0" applyNumberFormat="1" applyFont="1" applyFill="1" applyAlignment="1" applyProtection="1">
      <alignment/>
      <protection/>
    </xf>
    <xf numFmtId="0" fontId="22" fillId="3" borderId="1" xfId="0" applyFont="1" applyFill="1" applyBorder="1" applyAlignment="1" applyProtection="1">
      <alignment/>
      <protection/>
    </xf>
    <xf numFmtId="0" fontId="22" fillId="3" borderId="2" xfId="0" applyNumberFormat="1" applyFont="1" applyFill="1" applyBorder="1" applyAlignment="1" applyProtection="1">
      <alignment/>
      <protection/>
    </xf>
    <xf numFmtId="0" fontId="22" fillId="3" borderId="2" xfId="0" applyNumberFormat="1" applyFont="1" applyFill="1" applyBorder="1" applyAlignment="1" applyProtection="1">
      <alignment horizontal="right"/>
      <protection/>
    </xf>
    <xf numFmtId="0" fontId="22" fillId="3" borderId="2" xfId="0" applyNumberFormat="1" applyFont="1" applyFill="1" applyBorder="1" applyAlignment="1" applyProtection="1">
      <alignment horizontal="left"/>
      <protection/>
    </xf>
    <xf numFmtId="0" fontId="22" fillId="3" borderId="3" xfId="0" applyNumberFormat="1" applyFont="1" applyFill="1" applyBorder="1" applyAlignment="1" applyProtection="1">
      <alignment horizontal="right"/>
      <protection/>
    </xf>
    <xf numFmtId="0" fontId="4" fillId="3" borderId="0" xfId="0" applyNumberFormat="1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>
      <alignment/>
    </xf>
    <xf numFmtId="0" fontId="22" fillId="3" borderId="4" xfId="0" applyNumberFormat="1" applyFont="1" applyFill="1" applyBorder="1" applyAlignment="1" applyProtection="1">
      <alignment/>
      <protection/>
    </xf>
    <xf numFmtId="0" fontId="23" fillId="3" borderId="0" xfId="0" applyNumberFormat="1" applyFont="1" applyFill="1" applyAlignment="1" applyProtection="1">
      <alignment/>
      <protection/>
    </xf>
    <xf numFmtId="0" fontId="22" fillId="3" borderId="0" xfId="0" applyNumberFormat="1" applyFont="1" applyFill="1" applyAlignment="1" applyProtection="1">
      <alignment horizontal="right"/>
      <protection/>
    </xf>
    <xf numFmtId="192" fontId="22" fillId="3" borderId="0" xfId="0" applyNumberFormat="1" applyFont="1" applyFill="1" applyBorder="1" applyAlignment="1" applyProtection="1">
      <alignment horizontal="left"/>
      <protection/>
    </xf>
    <xf numFmtId="193" fontId="22" fillId="3" borderId="5" xfId="0" applyNumberFormat="1" applyFont="1" applyFill="1" applyBorder="1" applyAlignment="1" applyProtection="1">
      <alignment/>
      <protection/>
    </xf>
    <xf numFmtId="14" fontId="22" fillId="3" borderId="0" xfId="0" applyNumberFormat="1" applyFont="1" applyFill="1" applyAlignment="1" applyProtection="1">
      <alignment horizontal="right"/>
      <protection/>
    </xf>
    <xf numFmtId="14" fontId="22" fillId="3" borderId="5" xfId="0" applyNumberFormat="1" applyFont="1" applyFill="1" applyBorder="1" applyAlignment="1" applyProtection="1">
      <alignment horizontal="right"/>
      <protection/>
    </xf>
    <xf numFmtId="0" fontId="22" fillId="3" borderId="6" xfId="0" applyNumberFormat="1" applyFont="1" applyFill="1" applyBorder="1" applyAlignment="1" applyProtection="1">
      <alignment/>
      <protection/>
    </xf>
    <xf numFmtId="0" fontId="22" fillId="3" borderId="7" xfId="0" applyNumberFormat="1" applyFont="1" applyFill="1" applyBorder="1" applyAlignment="1" applyProtection="1">
      <alignment/>
      <protection/>
    </xf>
    <xf numFmtId="0" fontId="22" fillId="3" borderId="7" xfId="0" applyNumberFormat="1" applyFont="1" applyFill="1" applyBorder="1" applyAlignment="1" applyProtection="1">
      <alignment horizontal="right"/>
      <protection/>
    </xf>
    <xf numFmtId="0" fontId="22" fillId="3" borderId="7" xfId="0" applyNumberFormat="1" applyFont="1" applyFill="1" applyBorder="1" applyAlignment="1" applyProtection="1">
      <alignment horizontal="left"/>
      <protection/>
    </xf>
    <xf numFmtId="0" fontId="22" fillId="3" borderId="8" xfId="0" applyNumberFormat="1" applyFont="1" applyFill="1" applyBorder="1" applyAlignment="1" applyProtection="1">
      <alignment horizontal="right"/>
      <protection/>
    </xf>
    <xf numFmtId="0" fontId="22" fillId="3" borderId="1" xfId="0" applyNumberFormat="1" applyFont="1" applyFill="1" applyBorder="1" applyAlignment="1" applyProtection="1">
      <alignment/>
      <protection/>
    </xf>
    <xf numFmtId="0" fontId="22" fillId="3" borderId="3" xfId="0" applyNumberFormat="1" applyFont="1" applyFill="1" applyBorder="1" applyAlignment="1" applyProtection="1">
      <alignment/>
      <protection/>
    </xf>
    <xf numFmtId="0" fontId="24" fillId="3" borderId="1" xfId="0" applyNumberFormat="1" applyFont="1" applyFill="1" applyBorder="1" applyAlignment="1" applyProtection="1">
      <alignment horizontal="center" vertical="center"/>
      <protection/>
    </xf>
    <xf numFmtId="0" fontId="24" fillId="3" borderId="3" xfId="0" applyNumberFormat="1" applyFont="1" applyFill="1" applyBorder="1" applyAlignment="1" applyProtection="1">
      <alignment horizontal="center" vertical="center"/>
      <protection/>
    </xf>
    <xf numFmtId="0" fontId="25" fillId="3" borderId="9" xfId="0" applyFont="1" applyFill="1" applyBorder="1" applyAlignment="1" applyProtection="1">
      <alignment horizontal="center" vertical="center"/>
      <protection/>
    </xf>
    <xf numFmtId="0" fontId="25" fillId="3" borderId="11" xfId="0" applyFont="1" applyFill="1" applyBorder="1" applyAlignment="1" applyProtection="1">
      <alignment horizontal="center" vertical="center"/>
      <protection/>
    </xf>
    <xf numFmtId="0" fontId="26" fillId="3" borderId="0" xfId="0" applyNumberFormat="1" applyFont="1" applyFill="1" applyAlignment="1" applyProtection="1">
      <alignment/>
      <protection/>
    </xf>
    <xf numFmtId="0" fontId="24" fillId="3" borderId="6" xfId="0" applyFont="1" applyFill="1" applyBorder="1" applyAlignment="1" applyProtection="1">
      <alignment horizontal="center" vertical="center"/>
      <protection/>
    </xf>
    <xf numFmtId="0" fontId="24" fillId="3" borderId="8" xfId="0" applyFont="1" applyFill="1" applyBorder="1" applyAlignment="1" applyProtection="1">
      <alignment horizontal="center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2" fillId="3" borderId="0" xfId="0" applyNumberFormat="1" applyFont="1" applyFill="1" applyBorder="1" applyAlignment="1" applyProtection="1">
      <alignment vertical="center"/>
      <protection/>
    </xf>
    <xf numFmtId="0" fontId="22" fillId="3" borderId="5" xfId="0" applyNumberFormat="1" applyFont="1" applyFill="1" applyBorder="1" applyAlignment="1" applyProtection="1">
      <alignment vertical="center"/>
      <protection/>
    </xf>
    <xf numFmtId="0" fontId="27" fillId="3" borderId="0" xfId="0" applyNumberFormat="1" applyFont="1" applyFill="1" applyAlignment="1" applyProtection="1">
      <alignment/>
      <protection/>
    </xf>
    <xf numFmtId="0" fontId="24" fillId="3" borderId="0" xfId="0" applyFont="1" applyFill="1" applyBorder="1" applyAlignment="1" applyProtection="1" quotePrefix="1">
      <alignment horizontal="left"/>
      <protection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NumberFormat="1" applyFont="1" applyFill="1" applyBorder="1" applyAlignment="1" applyProtection="1">
      <alignment/>
      <protection/>
    </xf>
    <xf numFmtId="0" fontId="22" fillId="3" borderId="5" xfId="0" applyNumberFormat="1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left"/>
      <protection/>
    </xf>
    <xf numFmtId="0" fontId="22" fillId="3" borderId="0" xfId="0" applyFont="1" applyFill="1" applyBorder="1" applyAlignment="1" applyProtection="1">
      <alignment horizontal="right"/>
      <protection/>
    </xf>
    <xf numFmtId="189" fontId="24" fillId="3" borderId="0" xfId="0" applyNumberFormat="1" applyFont="1" applyFill="1" applyBorder="1" applyAlignment="1" applyProtection="1">
      <alignment/>
      <protection/>
    </xf>
    <xf numFmtId="1" fontId="25" fillId="3" borderId="5" xfId="0" applyNumberFormat="1" applyFont="1" applyFill="1" applyBorder="1" applyAlignment="1" applyProtection="1">
      <alignment horizontal="center"/>
      <protection/>
    </xf>
    <xf numFmtId="0" fontId="28" fillId="3" borderId="0" xfId="0" applyFont="1" applyFill="1" applyAlignment="1">
      <alignment/>
    </xf>
    <xf numFmtId="0" fontId="22" fillId="3" borderId="0" xfId="0" applyNumberFormat="1" applyFont="1" applyFill="1" applyBorder="1" applyAlignment="1" applyProtection="1" quotePrefix="1">
      <alignment horizontal="left"/>
      <protection/>
    </xf>
    <xf numFmtId="0" fontId="22" fillId="3" borderId="0" xfId="0" applyNumberFormat="1" applyFont="1" applyFill="1" applyBorder="1" applyAlignment="1" applyProtection="1">
      <alignment horizontal="right"/>
      <protection/>
    </xf>
    <xf numFmtId="0" fontId="24" fillId="3" borderId="0" xfId="0" applyFont="1" applyFill="1" applyBorder="1" applyAlignment="1" applyProtection="1">
      <alignment/>
      <protection/>
    </xf>
    <xf numFmtId="0" fontId="22" fillId="3" borderId="13" xfId="0" applyNumberFormat="1" applyFont="1" applyFill="1" applyBorder="1" applyAlignment="1" applyProtection="1">
      <alignment horizontal="center"/>
      <protection/>
    </xf>
    <xf numFmtId="0" fontId="22" fillId="3" borderId="0" xfId="0" applyNumberFormat="1" applyFont="1" applyFill="1" applyBorder="1" applyAlignment="1" applyProtection="1">
      <alignment horizontal="center"/>
      <protection/>
    </xf>
    <xf numFmtId="0" fontId="22" fillId="3" borderId="5" xfId="0" applyNumberFormat="1" applyFont="1" applyFill="1" applyBorder="1" applyAlignment="1" applyProtection="1">
      <alignment horizontal="center"/>
      <protection/>
    </xf>
    <xf numFmtId="0" fontId="22" fillId="3" borderId="30" xfId="0" applyNumberFormat="1" applyFont="1" applyFill="1" applyBorder="1" applyAlignment="1" applyProtection="1">
      <alignment horizontal="center"/>
      <protection/>
    </xf>
    <xf numFmtId="0" fontId="22" fillId="3" borderId="24" xfId="0" applyNumberFormat="1" applyFont="1" applyFill="1" applyBorder="1" applyAlignment="1" applyProtection="1">
      <alignment horizontal="center"/>
      <protection/>
    </xf>
    <xf numFmtId="0" fontId="22" fillId="3" borderId="31" xfId="0" applyNumberFormat="1" applyFont="1" applyFill="1" applyBorder="1" applyAlignment="1" applyProtection="1">
      <alignment horizontal="center"/>
      <protection/>
    </xf>
    <xf numFmtId="0" fontId="22" fillId="3" borderId="12" xfId="0" applyNumberFormat="1" applyFont="1" applyFill="1" applyBorder="1" applyAlignment="1" applyProtection="1">
      <alignment horizontal="center"/>
      <protection/>
    </xf>
    <xf numFmtId="0" fontId="22" fillId="3" borderId="27" xfId="0" applyNumberFormat="1" applyFont="1" applyFill="1" applyBorder="1" applyAlignment="1" applyProtection="1">
      <alignment horizontal="center"/>
      <protection/>
    </xf>
    <xf numFmtId="0" fontId="24" fillId="3" borderId="0" xfId="0" applyNumberFormat="1" applyFont="1" applyFill="1" applyBorder="1" applyAlignment="1" applyProtection="1" quotePrefix="1">
      <alignment horizontal="left"/>
      <protection/>
    </xf>
    <xf numFmtId="1" fontId="24" fillId="3" borderId="13" xfId="0" applyNumberFormat="1" applyFont="1" applyFill="1" applyBorder="1" applyAlignment="1" applyProtection="1">
      <alignment horizontal="center"/>
      <protection/>
    </xf>
    <xf numFmtId="1" fontId="24" fillId="3" borderId="0" xfId="0" applyNumberFormat="1" applyFont="1" applyFill="1" applyBorder="1" applyAlignment="1" applyProtection="1">
      <alignment horizontal="center"/>
      <protection/>
    </xf>
    <xf numFmtId="1" fontId="24" fillId="3" borderId="5" xfId="0" applyNumberFormat="1" applyFont="1" applyFill="1" applyBorder="1" applyAlignment="1" applyProtection="1">
      <alignment horizontal="center"/>
      <protection/>
    </xf>
    <xf numFmtId="3" fontId="25" fillId="3" borderId="13" xfId="0" applyNumberFormat="1" applyFont="1" applyFill="1" applyBorder="1" applyAlignment="1" applyProtection="1">
      <alignment horizontal="center"/>
      <protection/>
    </xf>
    <xf numFmtId="3" fontId="25" fillId="3" borderId="27" xfId="0" applyNumberFormat="1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/>
      <protection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24" fillId="3" borderId="7" xfId="0" applyNumberFormat="1" applyFont="1" applyFill="1" applyBorder="1" applyAlignment="1" applyProtection="1" quotePrefix="1">
      <alignment horizontal="left"/>
      <protection/>
    </xf>
    <xf numFmtId="0" fontId="22" fillId="3" borderId="15" xfId="0" applyNumberFormat="1" applyFont="1" applyFill="1" applyBorder="1" applyAlignment="1" applyProtection="1">
      <alignment/>
      <protection/>
    </xf>
    <xf numFmtId="0" fontId="22" fillId="3" borderId="8" xfId="0" applyNumberFormat="1" applyFont="1" applyFill="1" applyBorder="1" applyAlignment="1" applyProtection="1">
      <alignment/>
      <protection/>
    </xf>
    <xf numFmtId="0" fontId="4" fillId="3" borderId="6" xfId="0" applyFont="1" applyFill="1" applyBorder="1" applyAlignment="1" applyProtection="1">
      <alignment/>
      <protection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22" fillId="3" borderId="13" xfId="0" applyNumberFormat="1" applyFont="1" applyFill="1" applyBorder="1" applyAlignment="1" applyProtection="1">
      <alignment/>
      <protection/>
    </xf>
    <xf numFmtId="0" fontId="22" fillId="2" borderId="16" xfId="0" applyNumberFormat="1" applyFont="1" applyFill="1" applyBorder="1" applyAlignment="1" applyProtection="1">
      <alignment/>
      <protection locked="0"/>
    </xf>
    <xf numFmtId="0" fontId="22" fillId="3" borderId="17" xfId="0" applyNumberFormat="1" applyFont="1" applyFill="1" applyBorder="1" applyAlignment="1" applyProtection="1">
      <alignment/>
      <protection/>
    </xf>
    <xf numFmtId="1" fontId="22" fillId="3" borderId="18" xfId="0" applyNumberFormat="1" applyFont="1" applyFill="1" applyBorder="1" applyAlignment="1" applyProtection="1">
      <alignment/>
      <protection/>
    </xf>
    <xf numFmtId="1" fontId="22" fillId="3" borderId="17" xfId="0" applyNumberFormat="1" applyFont="1" applyFill="1" applyBorder="1" applyAlignment="1" applyProtection="1">
      <alignment/>
      <protection/>
    </xf>
    <xf numFmtId="1" fontId="22" fillId="3" borderId="19" xfId="0" applyNumberFormat="1" applyFont="1" applyFill="1" applyBorder="1" applyAlignment="1" applyProtection="1">
      <alignment horizontal="right"/>
      <protection/>
    </xf>
    <xf numFmtId="189" fontId="22" fillId="3" borderId="0" xfId="0" applyNumberFormat="1" applyFont="1" applyFill="1" applyAlignment="1" applyProtection="1">
      <alignment/>
      <protection/>
    </xf>
    <xf numFmtId="3" fontId="25" fillId="3" borderId="32" xfId="0" applyNumberFormat="1" applyFont="1" applyFill="1" applyBorder="1" applyAlignment="1" applyProtection="1">
      <alignment/>
      <protection/>
    </xf>
    <xf numFmtId="3" fontId="25" fillId="3" borderId="33" xfId="0" applyNumberFormat="1" applyFont="1" applyFill="1" applyBorder="1" applyAlignment="1" applyProtection="1">
      <alignment/>
      <protection/>
    </xf>
    <xf numFmtId="3" fontId="25" fillId="3" borderId="34" xfId="0" applyNumberFormat="1" applyFont="1" applyFill="1" applyBorder="1" applyAlignment="1" applyProtection="1">
      <alignment/>
      <protection/>
    </xf>
    <xf numFmtId="1" fontId="22" fillId="3" borderId="17" xfId="0" applyNumberFormat="1" applyFont="1" applyFill="1" applyBorder="1" applyAlignment="1" applyProtection="1">
      <alignment horizontal="right"/>
      <protection/>
    </xf>
    <xf numFmtId="1" fontId="22" fillId="3" borderId="18" xfId="0" applyNumberFormat="1" applyFont="1" applyFill="1" applyBorder="1" applyAlignment="1" applyProtection="1">
      <alignment horizontal="right"/>
      <protection/>
    </xf>
    <xf numFmtId="1" fontId="22" fillId="3" borderId="19" xfId="0" applyNumberFormat="1" applyFont="1" applyFill="1" applyBorder="1" applyAlignment="1" applyProtection="1">
      <alignment/>
      <protection/>
    </xf>
    <xf numFmtId="3" fontId="25" fillId="3" borderId="35" xfId="0" applyNumberFormat="1" applyFont="1" applyFill="1" applyBorder="1" applyAlignment="1" applyProtection="1">
      <alignment/>
      <protection/>
    </xf>
    <xf numFmtId="3" fontId="25" fillId="3" borderId="36" xfId="0" applyNumberFormat="1" applyFont="1" applyFill="1" applyBorder="1" applyAlignment="1" applyProtection="1">
      <alignment/>
      <protection/>
    </xf>
    <xf numFmtId="3" fontId="25" fillId="3" borderId="37" xfId="0" applyNumberFormat="1" applyFont="1" applyFill="1" applyBorder="1" applyAlignment="1" applyProtection="1">
      <alignment/>
      <protection/>
    </xf>
    <xf numFmtId="0" fontId="22" fillId="3" borderId="17" xfId="0" applyNumberFormat="1" applyFont="1" applyFill="1" applyBorder="1" applyAlignment="1" applyProtection="1" quotePrefix="1">
      <alignment horizontal="left"/>
      <protection/>
    </xf>
    <xf numFmtId="0" fontId="22" fillId="3" borderId="16" xfId="0" applyNumberFormat="1" applyFont="1" applyFill="1" applyBorder="1" applyAlignment="1" applyProtection="1">
      <alignment/>
      <protection locked="0"/>
    </xf>
    <xf numFmtId="0" fontId="22" fillId="3" borderId="17" xfId="0" applyNumberFormat="1" applyFont="1" applyFill="1" applyBorder="1" applyAlignment="1" applyProtection="1">
      <alignment horizontal="left"/>
      <protection/>
    </xf>
    <xf numFmtId="0" fontId="22" fillId="3" borderId="18" xfId="0" applyNumberFormat="1" applyFont="1" applyFill="1" applyBorder="1" applyAlignment="1" applyProtection="1">
      <alignment/>
      <protection/>
    </xf>
    <xf numFmtId="0" fontId="24" fillId="3" borderId="17" xfId="0" applyNumberFormat="1" applyFont="1" applyFill="1" applyBorder="1" applyAlignment="1" applyProtection="1">
      <alignment/>
      <protection/>
    </xf>
    <xf numFmtId="0" fontId="22" fillId="3" borderId="16" xfId="0" applyNumberFormat="1" applyFont="1" applyFill="1" applyBorder="1" applyAlignment="1" applyProtection="1">
      <alignment/>
      <protection/>
    </xf>
    <xf numFmtId="0" fontId="22" fillId="3" borderId="20" xfId="0" applyNumberFormat="1" applyFont="1" applyFill="1" applyBorder="1" applyAlignment="1" applyProtection="1">
      <alignment/>
      <protection/>
    </xf>
    <xf numFmtId="0" fontId="22" fillId="3" borderId="21" xfId="0" applyNumberFormat="1" applyFont="1" applyFill="1" applyBorder="1" applyAlignment="1" applyProtection="1">
      <alignment/>
      <protection/>
    </xf>
    <xf numFmtId="1" fontId="22" fillId="3" borderId="22" xfId="0" applyNumberFormat="1" applyFont="1" applyFill="1" applyBorder="1" applyAlignment="1" applyProtection="1">
      <alignment/>
      <protection/>
    </xf>
    <xf numFmtId="1" fontId="22" fillId="3" borderId="21" xfId="0" applyNumberFormat="1" applyFont="1" applyFill="1" applyBorder="1" applyAlignment="1" applyProtection="1">
      <alignment/>
      <protection/>
    </xf>
    <xf numFmtId="1" fontId="22" fillId="3" borderId="23" xfId="0" applyNumberFormat="1" applyFont="1" applyFill="1" applyBorder="1" applyAlignment="1" applyProtection="1">
      <alignment/>
      <protection/>
    </xf>
    <xf numFmtId="3" fontId="25" fillId="3" borderId="38" xfId="0" applyNumberFormat="1" applyFont="1" applyFill="1" applyBorder="1" applyAlignment="1" applyProtection="1">
      <alignment/>
      <protection/>
    </xf>
    <xf numFmtId="3" fontId="25" fillId="3" borderId="39" xfId="0" applyNumberFormat="1" applyFont="1" applyFill="1" applyBorder="1" applyAlignment="1" applyProtection="1">
      <alignment/>
      <protection/>
    </xf>
    <xf numFmtId="3" fontId="25" fillId="3" borderId="40" xfId="0" applyNumberFormat="1" applyFont="1" applyFill="1" applyBorder="1" applyAlignment="1" applyProtection="1">
      <alignment/>
      <protection/>
    </xf>
    <xf numFmtId="0" fontId="22" fillId="3" borderId="24" xfId="0" applyNumberFormat="1" applyFont="1" applyFill="1" applyBorder="1" applyAlignment="1" applyProtection="1">
      <alignment/>
      <protection/>
    </xf>
    <xf numFmtId="1" fontId="24" fillId="3" borderId="13" xfId="0" applyNumberFormat="1" applyFont="1" applyFill="1" applyBorder="1" applyAlignment="1" applyProtection="1">
      <alignment/>
      <protection/>
    </xf>
    <xf numFmtId="1" fontId="24" fillId="3" borderId="27" xfId="0" applyNumberFormat="1" applyFont="1" applyFill="1" applyBorder="1" applyAlignment="1" applyProtection="1">
      <alignment/>
      <protection/>
    </xf>
    <xf numFmtId="0" fontId="25" fillId="3" borderId="7" xfId="0" applyNumberFormat="1" applyFont="1" applyFill="1" applyBorder="1" applyAlignment="1" applyProtection="1" quotePrefix="1">
      <alignment horizontal="left"/>
      <protection/>
    </xf>
    <xf numFmtId="3" fontId="25" fillId="3" borderId="15" xfId="0" applyNumberFormat="1" applyFont="1" applyFill="1" applyBorder="1" applyAlignment="1" applyProtection="1">
      <alignment/>
      <protection/>
    </xf>
    <xf numFmtId="3" fontId="25" fillId="3" borderId="29" xfId="0" applyNumberFormat="1" applyFont="1" applyFill="1" applyBorder="1" applyAlignment="1" applyProtection="1">
      <alignment/>
      <protection/>
    </xf>
    <xf numFmtId="0" fontId="24" fillId="3" borderId="2" xfId="0" applyNumberFormat="1" applyFont="1" applyFill="1" applyBorder="1" applyAlignment="1" applyProtection="1">
      <alignment horizontal="right"/>
      <protection/>
    </xf>
    <xf numFmtId="2" fontId="24" fillId="3" borderId="24" xfId="0" applyNumberFormat="1" applyFont="1" applyFill="1" applyBorder="1" applyAlignment="1" applyProtection="1">
      <alignment horizontal="right"/>
      <protection/>
    </xf>
    <xf numFmtId="3" fontId="25" fillId="3" borderId="2" xfId="0" applyNumberFormat="1" applyFont="1" applyFill="1" applyBorder="1" applyAlignment="1" applyProtection="1">
      <alignment/>
      <protection/>
    </xf>
    <xf numFmtId="0" fontId="22" fillId="3" borderId="25" xfId="0" applyNumberFormat="1" applyFont="1" applyFill="1" applyBorder="1" applyAlignment="1" applyProtection="1" quotePrefix="1">
      <alignment horizontal="left"/>
      <protection/>
    </xf>
    <xf numFmtId="0" fontId="24" fillId="3" borderId="0" xfId="0" applyNumberFormat="1" applyFont="1" applyFill="1" applyAlignment="1" applyProtection="1">
      <alignment horizontal="right"/>
      <protection/>
    </xf>
    <xf numFmtId="2" fontId="24" fillId="3" borderId="13" xfId="0" applyNumberFormat="1" applyFont="1" applyFill="1" applyBorder="1" applyAlignment="1" applyProtection="1">
      <alignment horizontal="right"/>
      <protection/>
    </xf>
    <xf numFmtId="3" fontId="25" fillId="3" borderId="0" xfId="0" applyNumberFormat="1" applyFont="1" applyFill="1" applyBorder="1" applyAlignment="1" applyProtection="1">
      <alignment/>
      <protection/>
    </xf>
    <xf numFmtId="2" fontId="22" fillId="3" borderId="26" xfId="0" applyNumberFormat="1" applyFont="1" applyFill="1" applyBorder="1" applyAlignment="1" applyProtection="1" quotePrefix="1">
      <alignment horizontal="right"/>
      <protection/>
    </xf>
    <xf numFmtId="2" fontId="22" fillId="3" borderId="27" xfId="0" applyNumberFormat="1" applyFont="1" applyFill="1" applyBorder="1" applyAlignment="1" applyProtection="1">
      <alignment horizontal="right"/>
      <protection/>
    </xf>
    <xf numFmtId="0" fontId="24" fillId="3" borderId="7" xfId="0" applyNumberFormat="1" applyFont="1" applyFill="1" applyBorder="1" applyAlignment="1" applyProtection="1">
      <alignment horizontal="right"/>
      <protection/>
    </xf>
    <xf numFmtId="0" fontId="24" fillId="3" borderId="15" xfId="0" applyNumberFormat="1" applyFont="1" applyFill="1" applyBorder="1" applyAlignment="1" applyProtection="1">
      <alignment/>
      <protection/>
    </xf>
    <xf numFmtId="2" fontId="22" fillId="3" borderId="28" xfId="0" applyNumberFormat="1" applyFont="1" applyFill="1" applyBorder="1" applyAlignment="1" applyProtection="1">
      <alignment horizontal="right"/>
      <protection/>
    </xf>
    <xf numFmtId="0" fontId="22" fillId="3" borderId="29" xfId="0" applyNumberFormat="1" applyFont="1" applyFill="1" applyBorder="1" applyAlignment="1" applyProtection="1">
      <alignment/>
      <protection/>
    </xf>
    <xf numFmtId="0" fontId="22" fillId="3" borderId="0" xfId="0" applyNumberFormat="1" applyFont="1" applyFill="1" applyAlignment="1" applyProtection="1" quotePrefix="1">
      <alignment horizontal="right"/>
      <protection/>
    </xf>
    <xf numFmtId="2" fontId="22" fillId="3" borderId="0" xfId="0" applyNumberFormat="1" applyFont="1" applyFill="1" applyAlignment="1" applyProtection="1">
      <alignment/>
      <protection/>
    </xf>
    <xf numFmtId="2" fontId="22" fillId="3" borderId="2" xfId="0" applyNumberFormat="1" applyFont="1" applyFill="1" applyBorder="1" applyAlignment="1" applyProtection="1">
      <alignment/>
      <protection/>
    </xf>
    <xf numFmtId="189" fontId="22" fillId="3" borderId="2" xfId="0" applyNumberFormat="1" applyFont="1" applyFill="1" applyBorder="1" applyAlignment="1" applyProtection="1">
      <alignment/>
      <protection/>
    </xf>
    <xf numFmtId="189" fontId="22" fillId="3" borderId="3" xfId="0" applyNumberFormat="1" applyFont="1" applyFill="1" applyBorder="1" applyAlignment="1" applyProtection="1">
      <alignment/>
      <protection/>
    </xf>
    <xf numFmtId="189" fontId="22" fillId="3" borderId="0" xfId="0" applyNumberFormat="1" applyFont="1" applyFill="1" applyBorder="1" applyAlignment="1" applyProtection="1">
      <alignment/>
      <protection/>
    </xf>
    <xf numFmtId="189" fontId="22" fillId="3" borderId="5" xfId="0" applyNumberFormat="1" applyFont="1" applyFill="1" applyBorder="1" applyAlignment="1" applyProtection="1">
      <alignment/>
      <protection/>
    </xf>
    <xf numFmtId="189" fontId="4" fillId="3" borderId="0" xfId="0" applyNumberFormat="1" applyFont="1" applyFill="1" applyAlignment="1" applyProtection="1">
      <alignment/>
      <protection/>
    </xf>
    <xf numFmtId="0" fontId="22" fillId="2" borderId="12" xfId="0" applyNumberFormat="1" applyFont="1" applyFill="1" applyBorder="1" applyAlignment="1" applyProtection="1">
      <alignment/>
      <protection/>
    </xf>
    <xf numFmtId="2" fontId="28" fillId="2" borderId="27" xfId="0" applyNumberFormat="1" applyFont="1" applyFill="1" applyBorder="1" applyAlignment="1" applyProtection="1">
      <alignment horizontal="right"/>
      <protection/>
    </xf>
    <xf numFmtId="2" fontId="22" fillId="3" borderId="0" xfId="0" applyNumberFormat="1" applyFont="1" applyFill="1" applyBorder="1" applyAlignment="1" applyProtection="1">
      <alignment/>
      <protection/>
    </xf>
    <xf numFmtId="2" fontId="28" fillId="2" borderId="0" xfId="0" applyNumberFormat="1" applyFont="1" applyFill="1" applyBorder="1" applyAlignment="1" applyProtection="1">
      <alignment/>
      <protection locked="0"/>
    </xf>
    <xf numFmtId="189" fontId="28" fillId="2" borderId="0" xfId="0" applyNumberFormat="1" applyFont="1" applyFill="1" applyBorder="1" applyAlignment="1" applyProtection="1">
      <alignment/>
      <protection locked="0"/>
    </xf>
    <xf numFmtId="189" fontId="22" fillId="3" borderId="0" xfId="0" applyNumberFormat="1" applyFont="1" applyFill="1" applyBorder="1" applyAlignment="1" applyProtection="1" quotePrefix="1">
      <alignment horizontal="left"/>
      <protection/>
    </xf>
    <xf numFmtId="2" fontId="28" fillId="3" borderId="0" xfId="0" applyNumberFormat="1" applyFont="1" applyFill="1" applyBorder="1" applyAlignment="1" applyProtection="1">
      <alignment/>
      <protection locked="0"/>
    </xf>
    <xf numFmtId="189" fontId="28" fillId="3" borderId="0" xfId="0" applyNumberFormat="1" applyFont="1" applyFill="1" applyBorder="1" applyAlignment="1" applyProtection="1">
      <alignment/>
      <protection locked="0"/>
    </xf>
    <xf numFmtId="1" fontId="22" fillId="3" borderId="0" xfId="0" applyNumberFormat="1" applyFont="1" applyFill="1" applyAlignment="1" applyProtection="1">
      <alignment/>
      <protection/>
    </xf>
    <xf numFmtId="1" fontId="22" fillId="3" borderId="1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2333625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2</xdr:col>
      <xdr:colOff>1600200</xdr:colOff>
      <xdr:row>3</xdr:row>
      <xdr:rowOff>171450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8575"/>
          <a:ext cx="1590675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1">
      <selection activeCell="M74" sqref="M74"/>
    </sheetView>
  </sheetViews>
  <sheetFormatPr defaultColWidth="8.796875" defaultRowHeight="15"/>
  <cols>
    <col min="1" max="1" width="7" style="128" customWidth="1"/>
    <col min="2" max="2" width="4.69921875" style="128" customWidth="1"/>
    <col min="3" max="3" width="31.69921875" style="128" customWidth="1"/>
    <col min="4" max="6" width="9.09765625" style="128" customWidth="1"/>
    <col min="7" max="7" width="9.3984375" style="128" customWidth="1"/>
    <col min="8" max="8" width="5.69921875" style="128" bestFit="1" customWidth="1"/>
    <col min="9" max="10" width="7.19921875" style="128" hidden="1" customWidth="1"/>
    <col min="11" max="11" width="7" style="128" hidden="1" customWidth="1"/>
    <col min="12" max="12" width="2" style="128" hidden="1" customWidth="1"/>
    <col min="13" max="16" width="7.69921875" style="128" customWidth="1"/>
    <col min="17" max="17" width="11.59765625" style="128" customWidth="1"/>
    <col min="18" max="16384" width="11.3984375" style="128" customWidth="1"/>
  </cols>
  <sheetData>
    <row r="1" spans="1:12" ht="12.75">
      <c r="A1" s="120"/>
      <c r="B1" s="121"/>
      <c r="C1" s="122" t="s">
        <v>0</v>
      </c>
      <c r="D1" s="122" t="s">
        <v>0</v>
      </c>
      <c r="E1" s="123" t="s">
        <v>0</v>
      </c>
      <c r="F1" s="124" t="s">
        <v>1</v>
      </c>
      <c r="G1" s="125" t="s">
        <v>93</v>
      </c>
      <c r="H1" s="120"/>
      <c r="I1" s="120"/>
      <c r="J1" s="126"/>
      <c r="K1" s="126"/>
      <c r="L1" s="127"/>
    </row>
    <row r="2" spans="1:12" ht="12.75">
      <c r="A2" s="120"/>
      <c r="B2" s="129"/>
      <c r="C2" s="130" t="s">
        <v>0</v>
      </c>
      <c r="D2" s="120"/>
      <c r="E2" s="131"/>
      <c r="F2" s="132" t="s">
        <v>2</v>
      </c>
      <c r="G2" s="133">
        <v>39205</v>
      </c>
      <c r="H2" s="120"/>
      <c r="I2" s="120"/>
      <c r="J2" s="126"/>
      <c r="K2" s="126"/>
      <c r="L2" s="127"/>
    </row>
    <row r="3" spans="1:12" ht="12.75">
      <c r="A3" s="120"/>
      <c r="B3" s="129"/>
      <c r="C3" s="120" t="s">
        <v>0</v>
      </c>
      <c r="D3" s="120"/>
      <c r="E3" s="134"/>
      <c r="F3" s="132" t="s">
        <v>3</v>
      </c>
      <c r="G3" s="135">
        <f ca="1">NOW()</f>
        <v>39892.45118229167</v>
      </c>
      <c r="H3" s="120"/>
      <c r="I3" s="120"/>
      <c r="J3" s="126"/>
      <c r="K3" s="126"/>
      <c r="L3" s="127"/>
    </row>
    <row r="4" spans="1:12" ht="13.5" thickBot="1">
      <c r="A4" s="120"/>
      <c r="B4" s="136"/>
      <c r="C4" s="137" t="s">
        <v>0</v>
      </c>
      <c r="D4" s="137" t="s">
        <v>0</v>
      </c>
      <c r="E4" s="138" t="s">
        <v>0</v>
      </c>
      <c r="F4" s="139" t="s">
        <v>4</v>
      </c>
      <c r="G4" s="140" t="s">
        <v>94</v>
      </c>
      <c r="H4" s="120"/>
      <c r="I4" s="120"/>
      <c r="J4" s="126"/>
      <c r="K4" s="126"/>
      <c r="L4" s="127"/>
    </row>
    <row r="5" spans="1:12" ht="9.75" customHeight="1" thickBot="1">
      <c r="A5" s="120"/>
      <c r="B5" s="141"/>
      <c r="C5" s="122" t="s">
        <v>0</v>
      </c>
      <c r="D5" s="122"/>
      <c r="E5" s="122"/>
      <c r="F5" s="122"/>
      <c r="G5" s="142"/>
      <c r="H5" s="120"/>
      <c r="I5" s="120"/>
      <c r="J5" s="126"/>
      <c r="K5" s="126"/>
      <c r="L5" s="127"/>
    </row>
    <row r="6" spans="1:12" ht="13.5" customHeight="1" thickBot="1">
      <c r="A6" s="120"/>
      <c r="B6" s="143" t="s">
        <v>99</v>
      </c>
      <c r="C6" s="144"/>
      <c r="D6" s="145" t="s">
        <v>100</v>
      </c>
      <c r="E6" s="146"/>
      <c r="F6" s="145" t="s">
        <v>5</v>
      </c>
      <c r="G6" s="146"/>
      <c r="H6" s="120"/>
      <c r="I6" s="120"/>
      <c r="J6" s="147"/>
      <c r="K6" s="147"/>
      <c r="L6" s="127"/>
    </row>
    <row r="7" spans="1:12" ht="9.75" customHeight="1" thickBot="1">
      <c r="A7" s="120"/>
      <c r="B7" s="148" t="s">
        <v>98</v>
      </c>
      <c r="C7" s="149"/>
      <c r="D7" s="150"/>
      <c r="E7" s="150"/>
      <c r="F7" s="151"/>
      <c r="G7" s="152"/>
      <c r="H7" s="120"/>
      <c r="I7" s="120"/>
      <c r="J7" s="153"/>
      <c r="K7" s="153"/>
      <c r="L7" s="127"/>
    </row>
    <row r="8" spans="1:12" ht="12.75">
      <c r="A8" s="120"/>
      <c r="B8" s="129"/>
      <c r="C8" s="154" t="s">
        <v>101</v>
      </c>
      <c r="D8" s="155"/>
      <c r="E8" s="155"/>
      <c r="F8" s="156"/>
      <c r="G8" s="157"/>
      <c r="H8" s="120"/>
      <c r="I8" s="120"/>
      <c r="J8" s="153"/>
      <c r="K8" s="153"/>
      <c r="L8" s="127"/>
    </row>
    <row r="9" spans="1:13" ht="12.75">
      <c r="A9" s="120"/>
      <c r="B9" s="129"/>
      <c r="C9" s="158" t="s">
        <v>103</v>
      </c>
      <c r="D9" s="155"/>
      <c r="E9" s="159" t="s">
        <v>104</v>
      </c>
      <c r="F9" s="160">
        <f>E70</f>
        <v>2.948</v>
      </c>
      <c r="G9" s="161">
        <f>(F9*2204.6)</f>
        <v>6499.1608</v>
      </c>
      <c r="H9" s="120"/>
      <c r="I9" s="120"/>
      <c r="J9" s="153"/>
      <c r="K9" s="153" t="s">
        <v>96</v>
      </c>
      <c r="L9" s="127"/>
      <c r="M9" s="162" t="s">
        <v>108</v>
      </c>
    </row>
    <row r="10" spans="1:12" ht="12.75">
      <c r="A10" s="120"/>
      <c r="B10" s="129"/>
      <c r="C10" s="163"/>
      <c r="D10" s="156"/>
      <c r="E10" s="164" t="s">
        <v>102</v>
      </c>
      <c r="F10" s="160">
        <f>E71</f>
        <v>8.484</v>
      </c>
      <c r="G10" s="161"/>
      <c r="H10" s="120"/>
      <c r="I10" s="120"/>
      <c r="J10" s="153"/>
      <c r="K10" s="153" t="s">
        <v>97</v>
      </c>
      <c r="L10" s="127"/>
    </row>
    <row r="11" spans="1:12" ht="13.5" thickBot="1">
      <c r="A11" s="120"/>
      <c r="B11" s="129"/>
      <c r="C11" s="165" t="s">
        <v>8</v>
      </c>
      <c r="D11" s="156"/>
      <c r="E11" s="156"/>
      <c r="F11" s="155"/>
      <c r="G11" s="157"/>
      <c r="H11" s="120"/>
      <c r="I11" s="120"/>
      <c r="J11" s="153"/>
      <c r="K11" s="153"/>
      <c r="L11" s="127"/>
    </row>
    <row r="12" spans="1:16" ht="12.75">
      <c r="A12" s="120"/>
      <c r="B12" s="129"/>
      <c r="C12" s="156" t="s">
        <v>0</v>
      </c>
      <c r="D12" s="166" t="s">
        <v>9</v>
      </c>
      <c r="E12" s="167" t="s">
        <v>10</v>
      </c>
      <c r="F12" s="166" t="s">
        <v>11</v>
      </c>
      <c r="G12" s="168" t="s">
        <v>12</v>
      </c>
      <c r="H12" s="120"/>
      <c r="I12" s="120"/>
      <c r="J12" s="153"/>
      <c r="K12" s="153"/>
      <c r="L12" s="127"/>
      <c r="M12" s="169" t="s">
        <v>9</v>
      </c>
      <c r="N12" s="170" t="s">
        <v>10</v>
      </c>
      <c r="O12" s="170" t="s">
        <v>11</v>
      </c>
      <c r="P12" s="171" t="s">
        <v>12</v>
      </c>
    </row>
    <row r="13" spans="1:16" ht="12.75">
      <c r="A13" s="120"/>
      <c r="B13" s="129"/>
      <c r="C13" s="156" t="s">
        <v>0</v>
      </c>
      <c r="D13" s="166" t="s">
        <v>13</v>
      </c>
      <c r="E13" s="167" t="s">
        <v>14</v>
      </c>
      <c r="F13" s="166" t="s">
        <v>14</v>
      </c>
      <c r="G13" s="168" t="s">
        <v>14</v>
      </c>
      <c r="I13" s="120" t="s">
        <v>15</v>
      </c>
      <c r="J13" s="120" t="s">
        <v>16</v>
      </c>
      <c r="K13" s="120" t="s">
        <v>17</v>
      </c>
      <c r="L13" s="153"/>
      <c r="M13" s="172" t="s">
        <v>105</v>
      </c>
      <c r="N13" s="166" t="s">
        <v>106</v>
      </c>
      <c r="O13" s="166" t="s">
        <v>106</v>
      </c>
      <c r="P13" s="173" t="s">
        <v>106</v>
      </c>
    </row>
    <row r="14" spans="1:16" ht="12.75">
      <c r="A14" s="120"/>
      <c r="B14" s="129"/>
      <c r="C14" s="174" t="s">
        <v>18</v>
      </c>
      <c r="D14" s="175">
        <f>SUM(E14:G14)</f>
        <v>41368</v>
      </c>
      <c r="E14" s="176">
        <f>H71*(K14+H72)/(J14+K14)*1000</f>
        <v>18271.926258969535</v>
      </c>
      <c r="F14" s="175">
        <f>H71*1000-E14</f>
        <v>11979.144992798498</v>
      </c>
      <c r="G14" s="177">
        <f>(H68+E70)*1000</f>
        <v>11116.928748231967</v>
      </c>
      <c r="I14" s="120"/>
      <c r="J14" s="120">
        <v>3.275</v>
      </c>
      <c r="K14" s="120">
        <v>0.825</v>
      </c>
      <c r="L14" s="153"/>
      <c r="M14" s="172" t="s">
        <v>107</v>
      </c>
      <c r="N14" s="166" t="s">
        <v>107</v>
      </c>
      <c r="O14" s="166" t="s">
        <v>107</v>
      </c>
      <c r="P14" s="173" t="s">
        <v>107</v>
      </c>
    </row>
    <row r="15" spans="1:16" ht="9.75" customHeight="1">
      <c r="A15" s="120"/>
      <c r="B15" s="129"/>
      <c r="C15" s="156" t="s">
        <v>0</v>
      </c>
      <c r="D15" s="178">
        <f>D14*2.2046244201838</f>
        <v>91200.90301416344</v>
      </c>
      <c r="E15" s="178">
        <f>E14*2.2046244201838</f>
        <v>40282.73483432186</v>
      </c>
      <c r="F15" s="178">
        <f>F14*2.2046244201838</f>
        <v>26409.51558404606</v>
      </c>
      <c r="G15" s="179">
        <f>G14*2.2046244201838</f>
        <v>24508.65259579552</v>
      </c>
      <c r="I15" s="120"/>
      <c r="J15" s="120"/>
      <c r="K15" s="120"/>
      <c r="L15" s="153"/>
      <c r="M15" s="180"/>
      <c r="N15" s="181"/>
      <c r="O15" s="181"/>
      <c r="P15" s="182"/>
    </row>
    <row r="16" spans="1:16" ht="13.5" thickBot="1">
      <c r="A16" s="120"/>
      <c r="B16" s="136"/>
      <c r="C16" s="183" t="s">
        <v>19</v>
      </c>
      <c r="D16" s="184"/>
      <c r="E16" s="137"/>
      <c r="F16" s="184"/>
      <c r="G16" s="185"/>
      <c r="I16" s="120"/>
      <c r="J16" s="120"/>
      <c r="K16" s="120"/>
      <c r="L16" s="153"/>
      <c r="M16" s="186"/>
      <c r="N16" s="187"/>
      <c r="O16" s="187"/>
      <c r="P16" s="188"/>
    </row>
    <row r="17" spans="1:16" ht="9" customHeight="1">
      <c r="A17" s="120">
        <v>120</v>
      </c>
      <c r="B17" s="246">
        <v>1</v>
      </c>
      <c r="C17" s="120" t="s">
        <v>86</v>
      </c>
      <c r="D17" s="189">
        <f aca="true" t="shared" si="0" ref="D17:D33">B17*A17</f>
        <v>120</v>
      </c>
      <c r="E17" s="254">
        <f>D17-F17</f>
        <v>58.536585365853654</v>
      </c>
      <c r="F17" s="255">
        <f>(J17-I17)/(J17+K17)*D17</f>
        <v>61.463414634146346</v>
      </c>
      <c r="G17" s="157">
        <v>0</v>
      </c>
      <c r="I17" s="120">
        <v>1.175</v>
      </c>
      <c r="J17" s="120">
        <f>J14</f>
        <v>3.275</v>
      </c>
      <c r="K17" s="120">
        <f>K14</f>
        <v>0.825</v>
      </c>
      <c r="L17" s="120"/>
      <c r="M17" s="196">
        <f>D17*2.2046244201838</f>
        <v>264.55493042205603</v>
      </c>
      <c r="N17" s="197">
        <f>E17*2.2046244201838</f>
        <v>129.05118557173464</v>
      </c>
      <c r="O17" s="197">
        <f>F17*2.2046244201838</f>
        <v>135.5037448503214</v>
      </c>
      <c r="P17" s="198">
        <f>G17*2.2046244201838</f>
        <v>0</v>
      </c>
    </row>
    <row r="18" spans="1:16" ht="9" customHeight="1">
      <c r="A18" s="120">
        <v>120</v>
      </c>
      <c r="B18" s="190">
        <v>0</v>
      </c>
      <c r="C18" s="191" t="s">
        <v>87</v>
      </c>
      <c r="D18" s="192">
        <f t="shared" si="0"/>
        <v>0</v>
      </c>
      <c r="E18" s="193">
        <v>0</v>
      </c>
      <c r="F18" s="192">
        <v>0</v>
      </c>
      <c r="G18" s="194">
        <f>D18</f>
        <v>0</v>
      </c>
      <c r="I18" s="120"/>
      <c r="J18" s="195">
        <f aca="true" t="shared" si="1" ref="J18:K32">J17</f>
        <v>3.275</v>
      </c>
      <c r="K18" s="195">
        <f t="shared" si="1"/>
        <v>0.825</v>
      </c>
      <c r="L18" s="120"/>
      <c r="M18" s="196">
        <f aca="true" t="shared" si="2" ref="M18:M41">D18*2.2046244201838</f>
        <v>0</v>
      </c>
      <c r="N18" s="197">
        <f aca="true" t="shared" si="3" ref="N18:N41">E18*2.2046244201838</f>
        <v>0</v>
      </c>
      <c r="O18" s="197">
        <f aca="true" t="shared" si="4" ref="O18:O41">F18*2.2046244201838</f>
        <v>0</v>
      </c>
      <c r="P18" s="198">
        <f aca="true" t="shared" si="5" ref="P18:P41">G18*2.2046244201838</f>
        <v>0</v>
      </c>
    </row>
    <row r="19" spans="1:16" ht="9" customHeight="1">
      <c r="A19" s="120">
        <v>580</v>
      </c>
      <c r="B19" s="190">
        <v>0</v>
      </c>
      <c r="C19" s="191" t="s">
        <v>88</v>
      </c>
      <c r="D19" s="192">
        <f t="shared" si="0"/>
        <v>0</v>
      </c>
      <c r="E19" s="199">
        <v>0</v>
      </c>
      <c r="F19" s="200">
        <v>0</v>
      </c>
      <c r="G19" s="201">
        <f>D19</f>
        <v>0</v>
      </c>
      <c r="I19" s="120"/>
      <c r="J19" s="195">
        <f t="shared" si="1"/>
        <v>3.275</v>
      </c>
      <c r="K19" s="195">
        <f t="shared" si="1"/>
        <v>0.825</v>
      </c>
      <c r="L19" s="120"/>
      <c r="M19" s="196">
        <f t="shared" si="2"/>
        <v>0</v>
      </c>
      <c r="N19" s="197">
        <f t="shared" si="3"/>
        <v>0</v>
      </c>
      <c r="O19" s="197">
        <f t="shared" si="4"/>
        <v>0</v>
      </c>
      <c r="P19" s="198">
        <f t="shared" si="5"/>
        <v>0</v>
      </c>
    </row>
    <row r="20" spans="1:16" ht="9" customHeight="1">
      <c r="A20" s="120">
        <v>330</v>
      </c>
      <c r="B20" s="190">
        <v>1</v>
      </c>
      <c r="C20" s="205" t="s">
        <v>21</v>
      </c>
      <c r="D20" s="192">
        <f t="shared" si="0"/>
        <v>330</v>
      </c>
      <c r="E20" s="199">
        <f>D20-F20</f>
        <v>260.8770731707317</v>
      </c>
      <c r="F20" s="200">
        <f>(J20-I20)/(J20+K20)*D20</f>
        <v>69.1229268292683</v>
      </c>
      <c r="G20" s="201">
        <v>0</v>
      </c>
      <c r="I20" s="120">
        <v>2.4162</v>
      </c>
      <c r="J20" s="195">
        <f t="shared" si="1"/>
        <v>3.275</v>
      </c>
      <c r="K20" s="195">
        <f t="shared" si="1"/>
        <v>0.825</v>
      </c>
      <c r="L20" s="120"/>
      <c r="M20" s="196">
        <f t="shared" si="2"/>
        <v>727.526058660654</v>
      </c>
      <c r="N20" s="197">
        <f t="shared" si="3"/>
        <v>575.1359661782711</v>
      </c>
      <c r="O20" s="197">
        <f t="shared" si="4"/>
        <v>152.39009248238287</v>
      </c>
      <c r="P20" s="198">
        <f t="shared" si="5"/>
        <v>0</v>
      </c>
    </row>
    <row r="21" spans="1:16" ht="9" customHeight="1">
      <c r="A21" s="120">
        <v>1180</v>
      </c>
      <c r="B21" s="190">
        <v>1</v>
      </c>
      <c r="C21" s="191" t="s">
        <v>22</v>
      </c>
      <c r="D21" s="192">
        <f t="shared" si="0"/>
        <v>1180</v>
      </c>
      <c r="E21" s="193">
        <f>D21-F21</f>
        <v>1218.5658536585365</v>
      </c>
      <c r="F21" s="192">
        <f>(J21-I21)/(J21+K21)*D21</f>
        <v>-38.56585365853656</v>
      </c>
      <c r="G21" s="194">
        <v>0</v>
      </c>
      <c r="I21" s="120">
        <v>3.409</v>
      </c>
      <c r="J21" s="195">
        <f t="shared" si="1"/>
        <v>3.275</v>
      </c>
      <c r="K21" s="195">
        <f t="shared" si="1"/>
        <v>0.825</v>
      </c>
      <c r="L21" s="120"/>
      <c r="M21" s="196">
        <f t="shared" si="2"/>
        <v>2601.456815816884</v>
      </c>
      <c r="N21" s="197">
        <f t="shared" si="3"/>
        <v>2686.4800385777285</v>
      </c>
      <c r="O21" s="197">
        <f t="shared" si="4"/>
        <v>-85.02322276084445</v>
      </c>
      <c r="P21" s="198">
        <f t="shared" si="5"/>
        <v>0</v>
      </c>
    </row>
    <row r="22" spans="1:16" ht="9" customHeight="1">
      <c r="A22" s="120">
        <v>170</v>
      </c>
      <c r="B22" s="190">
        <v>1</v>
      </c>
      <c r="C22" s="191" t="s">
        <v>82</v>
      </c>
      <c r="D22" s="192">
        <f t="shared" si="0"/>
        <v>170</v>
      </c>
      <c r="E22" s="193">
        <f>(D22-G22)*(E72+K22)/(J22+K22)</f>
        <v>-14.829744080679866</v>
      </c>
      <c r="F22" s="192">
        <f>D22-E22-G22</f>
        <v>-4.626880153172124</v>
      </c>
      <c r="G22" s="194">
        <f>(I22+E72)/E71*D22</f>
        <v>189.45662423385198</v>
      </c>
      <c r="I22" s="120">
        <v>7.155</v>
      </c>
      <c r="J22" s="195">
        <f t="shared" si="1"/>
        <v>3.275</v>
      </c>
      <c r="K22" s="195">
        <f t="shared" si="1"/>
        <v>0.825</v>
      </c>
      <c r="L22" s="120"/>
      <c r="M22" s="196">
        <f t="shared" si="2"/>
        <v>374.786151431246</v>
      </c>
      <c r="N22" s="197">
        <f t="shared" si="3"/>
        <v>-32.69401594534299</v>
      </c>
      <c r="O22" s="197">
        <f t="shared" si="4"/>
        <v>-10.200532974947025</v>
      </c>
      <c r="P22" s="198">
        <f t="shared" si="5"/>
        <v>417.680700351536</v>
      </c>
    </row>
    <row r="23" spans="1:16" ht="9" customHeight="1">
      <c r="A23" s="120">
        <v>85</v>
      </c>
      <c r="B23" s="190">
        <v>1</v>
      </c>
      <c r="C23" s="191" t="s">
        <v>23</v>
      </c>
      <c r="D23" s="192">
        <f t="shared" si="0"/>
        <v>85</v>
      </c>
      <c r="E23" s="193">
        <f>(D23-G23)*(E72+K23)/(J23+K23)</f>
        <v>19.610083830682715</v>
      </c>
      <c r="F23" s="192">
        <f>D23-E23-G23</f>
        <v>6.118346155173008</v>
      </c>
      <c r="G23" s="194">
        <f>(I23+E72)/E71*D23</f>
        <v>59.27157001414428</v>
      </c>
      <c r="I23" s="120">
        <v>3.616</v>
      </c>
      <c r="J23" s="195">
        <f t="shared" si="1"/>
        <v>3.275</v>
      </c>
      <c r="K23" s="195">
        <f t="shared" si="1"/>
        <v>0.825</v>
      </c>
      <c r="L23" s="120"/>
      <c r="M23" s="196">
        <f t="shared" si="2"/>
        <v>187.393075715623</v>
      </c>
      <c r="N23" s="197">
        <f t="shared" si="3"/>
        <v>43.232869694974596</v>
      </c>
      <c r="O23" s="197">
        <f t="shared" si="4"/>
        <v>13.488655344832075</v>
      </c>
      <c r="P23" s="198">
        <f t="shared" si="5"/>
        <v>130.67155067581635</v>
      </c>
    </row>
    <row r="24" spans="1:16" ht="9" customHeight="1">
      <c r="A24" s="120">
        <v>1300</v>
      </c>
      <c r="B24" s="190">
        <v>0</v>
      </c>
      <c r="C24" s="191" t="s">
        <v>92</v>
      </c>
      <c r="D24" s="192">
        <f t="shared" si="0"/>
        <v>0</v>
      </c>
      <c r="E24" s="193">
        <f>(D24-G24)*(E72+K24)/(J24+K24)</f>
        <v>0</v>
      </c>
      <c r="F24" s="192">
        <f>D24-E24-G24</f>
        <v>0</v>
      </c>
      <c r="G24" s="194">
        <f>(I24+E72)/E71*D24</f>
        <v>0</v>
      </c>
      <c r="I24" s="120">
        <v>4.287</v>
      </c>
      <c r="J24" s="195">
        <f t="shared" si="1"/>
        <v>3.275</v>
      </c>
      <c r="K24" s="195">
        <f t="shared" si="1"/>
        <v>0.825</v>
      </c>
      <c r="L24" s="120"/>
      <c r="M24" s="196">
        <f t="shared" si="2"/>
        <v>0</v>
      </c>
      <c r="N24" s="197">
        <f t="shared" si="3"/>
        <v>0</v>
      </c>
      <c r="O24" s="197">
        <f t="shared" si="4"/>
        <v>0</v>
      </c>
      <c r="P24" s="198">
        <f t="shared" si="5"/>
        <v>0</v>
      </c>
    </row>
    <row r="25" spans="1:16" ht="9" customHeight="1">
      <c r="A25" s="120">
        <v>1330</v>
      </c>
      <c r="B25" s="190">
        <v>1</v>
      </c>
      <c r="C25" s="205" t="s">
        <v>91</v>
      </c>
      <c r="D25" s="192">
        <f>B25*A25</f>
        <v>1330</v>
      </c>
      <c r="E25" s="193">
        <f>(D25-G25)*(E72+K25)/(J25+K25)</f>
        <v>216.986637688159</v>
      </c>
      <c r="F25" s="192">
        <f>D25-E25-G25</f>
        <v>67.69983095870566</v>
      </c>
      <c r="G25" s="194">
        <f>(I25+E72)/E71*D25</f>
        <v>1045.3135313531354</v>
      </c>
      <c r="I25" s="120">
        <v>4.368</v>
      </c>
      <c r="J25" s="195">
        <f t="shared" si="1"/>
        <v>3.275</v>
      </c>
      <c r="K25" s="195">
        <f t="shared" si="1"/>
        <v>0.825</v>
      </c>
      <c r="L25" s="120"/>
      <c r="M25" s="196">
        <f t="shared" si="2"/>
        <v>2932.150478844454</v>
      </c>
      <c r="N25" s="197">
        <f t="shared" si="3"/>
        <v>478.3740403008898</v>
      </c>
      <c r="O25" s="197">
        <f t="shared" si="4"/>
        <v>149.25270057387775</v>
      </c>
      <c r="P25" s="198">
        <f t="shared" si="5"/>
        <v>2304.523737969687</v>
      </c>
    </row>
    <row r="26" spans="1:16" ht="9" customHeight="1">
      <c r="A26" s="120">
        <v>40</v>
      </c>
      <c r="B26" s="190">
        <v>1</v>
      </c>
      <c r="C26" s="207" t="s">
        <v>24</v>
      </c>
      <c r="D26" s="192">
        <f t="shared" si="0"/>
        <v>40</v>
      </c>
      <c r="E26" s="193">
        <f>D26-F26</f>
        <v>32.4390243902439</v>
      </c>
      <c r="F26" s="192">
        <f>(J26-I26)/(J26+K26)*D26</f>
        <v>7.560975609756097</v>
      </c>
      <c r="G26" s="194">
        <v>0</v>
      </c>
      <c r="I26" s="120">
        <v>2.5</v>
      </c>
      <c r="J26" s="195">
        <f t="shared" si="1"/>
        <v>3.275</v>
      </c>
      <c r="K26" s="195">
        <f t="shared" si="1"/>
        <v>0.825</v>
      </c>
      <c r="L26" s="120"/>
      <c r="M26" s="196">
        <f t="shared" si="2"/>
        <v>88.184976807352</v>
      </c>
      <c r="N26" s="197">
        <f t="shared" si="3"/>
        <v>71.51586533766961</v>
      </c>
      <c r="O26" s="197">
        <f t="shared" si="4"/>
        <v>16.66911146968239</v>
      </c>
      <c r="P26" s="198">
        <f t="shared" si="5"/>
        <v>0</v>
      </c>
    </row>
    <row r="27" spans="1:16" ht="9" customHeight="1">
      <c r="A27" s="120">
        <v>480</v>
      </c>
      <c r="B27" s="190">
        <v>0</v>
      </c>
      <c r="C27" s="205" t="s">
        <v>25</v>
      </c>
      <c r="D27" s="192">
        <f t="shared" si="0"/>
        <v>0</v>
      </c>
      <c r="E27" s="193">
        <f>D27-F27</f>
        <v>0</v>
      </c>
      <c r="F27" s="192">
        <f>(J27-I27)/(J27+K27)*D27</f>
        <v>0</v>
      </c>
      <c r="G27" s="194">
        <v>0</v>
      </c>
      <c r="I27" s="120">
        <v>1.225</v>
      </c>
      <c r="J27" s="195">
        <f t="shared" si="1"/>
        <v>3.275</v>
      </c>
      <c r="K27" s="195">
        <f t="shared" si="1"/>
        <v>0.825</v>
      </c>
      <c r="L27" s="120"/>
      <c r="M27" s="196">
        <f t="shared" si="2"/>
        <v>0</v>
      </c>
      <c r="N27" s="197">
        <f t="shared" si="3"/>
        <v>0</v>
      </c>
      <c r="O27" s="197">
        <f t="shared" si="4"/>
        <v>0</v>
      </c>
      <c r="P27" s="198">
        <f t="shared" si="5"/>
        <v>0</v>
      </c>
    </row>
    <row r="28" spans="1:16" ht="9" customHeight="1">
      <c r="A28" s="120">
        <v>816</v>
      </c>
      <c r="B28" s="190">
        <v>1</v>
      </c>
      <c r="C28" s="205" t="s">
        <v>26</v>
      </c>
      <c r="D28" s="192">
        <f t="shared" si="0"/>
        <v>816</v>
      </c>
      <c r="E28" s="193">
        <f>D28-F28</f>
        <v>408</v>
      </c>
      <c r="F28" s="192">
        <f>(J28-I28)/(J28+K28)*D28</f>
        <v>408</v>
      </c>
      <c r="G28" s="194">
        <v>0</v>
      </c>
      <c r="I28" s="120">
        <v>1.225</v>
      </c>
      <c r="J28" s="195">
        <f t="shared" si="1"/>
        <v>3.275</v>
      </c>
      <c r="K28" s="195">
        <f t="shared" si="1"/>
        <v>0.825</v>
      </c>
      <c r="L28" s="120"/>
      <c r="M28" s="196">
        <f t="shared" si="2"/>
        <v>1798.9735268699808</v>
      </c>
      <c r="N28" s="197">
        <f t="shared" si="3"/>
        <v>899.4867634349904</v>
      </c>
      <c r="O28" s="197">
        <f t="shared" si="4"/>
        <v>899.4867634349904</v>
      </c>
      <c r="P28" s="198">
        <f t="shared" si="5"/>
        <v>0</v>
      </c>
    </row>
    <row r="29" spans="1:16" ht="9" customHeight="1">
      <c r="A29" s="120">
        <v>50</v>
      </c>
      <c r="B29" s="190">
        <v>1</v>
      </c>
      <c r="C29" s="205" t="s">
        <v>95</v>
      </c>
      <c r="D29" s="192">
        <f>B29*A29</f>
        <v>50</v>
      </c>
      <c r="E29" s="193">
        <f>D29-F29</f>
        <v>25</v>
      </c>
      <c r="F29" s="192">
        <f>(J29-I29)/(J29+K29)*D29</f>
        <v>25</v>
      </c>
      <c r="G29" s="194">
        <v>0</v>
      </c>
      <c r="I29" s="120">
        <v>1.225</v>
      </c>
      <c r="J29" s="195">
        <f>J28</f>
        <v>3.275</v>
      </c>
      <c r="K29" s="195">
        <f>K28</f>
        <v>0.825</v>
      </c>
      <c r="L29" s="120"/>
      <c r="M29" s="196">
        <f t="shared" si="2"/>
        <v>110.23122100919001</v>
      </c>
      <c r="N29" s="197">
        <f t="shared" si="3"/>
        <v>55.115610504595004</v>
      </c>
      <c r="O29" s="197">
        <f t="shared" si="4"/>
        <v>55.115610504595004</v>
      </c>
      <c r="P29" s="198">
        <f t="shared" si="5"/>
        <v>0</v>
      </c>
    </row>
    <row r="30" spans="1:16" ht="9" customHeight="1">
      <c r="A30" s="120">
        <v>240</v>
      </c>
      <c r="B30" s="190">
        <v>0</v>
      </c>
      <c r="C30" s="205" t="s">
        <v>27</v>
      </c>
      <c r="D30" s="192">
        <f t="shared" si="0"/>
        <v>0</v>
      </c>
      <c r="E30" s="193">
        <v>0</v>
      </c>
      <c r="F30" s="192">
        <v>0</v>
      </c>
      <c r="G30" s="194">
        <f>D30</f>
        <v>0</v>
      </c>
      <c r="I30" s="120"/>
      <c r="J30" s="195">
        <f>J28</f>
        <v>3.275</v>
      </c>
      <c r="K30" s="195">
        <f>K28</f>
        <v>0.825</v>
      </c>
      <c r="L30" s="120"/>
      <c r="M30" s="196">
        <f t="shared" si="2"/>
        <v>0</v>
      </c>
      <c r="N30" s="197">
        <f t="shared" si="3"/>
        <v>0</v>
      </c>
      <c r="O30" s="197">
        <f t="shared" si="4"/>
        <v>0</v>
      </c>
      <c r="P30" s="198">
        <f t="shared" si="5"/>
        <v>0</v>
      </c>
    </row>
    <row r="31" spans="1:16" ht="9" customHeight="1">
      <c r="A31" s="120">
        <v>300</v>
      </c>
      <c r="B31" s="190">
        <v>0</v>
      </c>
      <c r="C31" s="207" t="s">
        <v>28</v>
      </c>
      <c r="D31" s="192">
        <f t="shared" si="0"/>
        <v>0</v>
      </c>
      <c r="E31" s="193">
        <v>0</v>
      </c>
      <c r="F31" s="192">
        <v>0</v>
      </c>
      <c r="G31" s="194">
        <f>D31</f>
        <v>0</v>
      </c>
      <c r="I31" s="120"/>
      <c r="J31" s="195">
        <f t="shared" si="1"/>
        <v>3.275</v>
      </c>
      <c r="K31" s="195">
        <f t="shared" si="1"/>
        <v>0.825</v>
      </c>
      <c r="L31" s="120"/>
      <c r="M31" s="196">
        <f t="shared" si="2"/>
        <v>0</v>
      </c>
      <c r="N31" s="197">
        <f t="shared" si="3"/>
        <v>0</v>
      </c>
      <c r="O31" s="197">
        <f t="shared" si="4"/>
        <v>0</v>
      </c>
      <c r="P31" s="198">
        <f t="shared" si="5"/>
        <v>0</v>
      </c>
    </row>
    <row r="32" spans="1:16" ht="9" customHeight="1">
      <c r="A32" s="120">
        <v>342</v>
      </c>
      <c r="B32" s="190">
        <v>0</v>
      </c>
      <c r="C32" s="191" t="s">
        <v>29</v>
      </c>
      <c r="D32" s="192">
        <f t="shared" si="0"/>
        <v>0</v>
      </c>
      <c r="E32" s="193">
        <v>0</v>
      </c>
      <c r="F32" s="192">
        <v>0</v>
      </c>
      <c r="G32" s="194">
        <f>D32</f>
        <v>0</v>
      </c>
      <c r="I32" s="120"/>
      <c r="J32" s="195">
        <f t="shared" si="1"/>
        <v>3.275</v>
      </c>
      <c r="K32" s="195">
        <f t="shared" si="1"/>
        <v>0.825</v>
      </c>
      <c r="L32" s="120"/>
      <c r="M32" s="196">
        <f t="shared" si="2"/>
        <v>0</v>
      </c>
      <c r="N32" s="197">
        <f t="shared" si="3"/>
        <v>0</v>
      </c>
      <c r="O32" s="197">
        <f t="shared" si="4"/>
        <v>0</v>
      </c>
      <c r="P32" s="198">
        <f t="shared" si="5"/>
        <v>0</v>
      </c>
    </row>
    <row r="33" spans="1:16" ht="9" customHeight="1">
      <c r="A33" s="120">
        <v>610</v>
      </c>
      <c r="B33" s="190">
        <v>0</v>
      </c>
      <c r="C33" s="191" t="s">
        <v>78</v>
      </c>
      <c r="D33" s="192">
        <f t="shared" si="0"/>
        <v>0</v>
      </c>
      <c r="E33" s="193">
        <f>D33-F33</f>
        <v>0</v>
      </c>
      <c r="F33" s="192">
        <f>(J33-I33)/(J33+K33)*D33</f>
        <v>0</v>
      </c>
      <c r="G33" s="194">
        <v>0</v>
      </c>
      <c r="I33" s="120">
        <v>3.485</v>
      </c>
      <c r="J33" s="195">
        <f>J31</f>
        <v>3.275</v>
      </c>
      <c r="K33" s="195">
        <f>K31</f>
        <v>0.825</v>
      </c>
      <c r="L33" s="120"/>
      <c r="M33" s="196">
        <f t="shared" si="2"/>
        <v>0</v>
      </c>
      <c r="N33" s="197">
        <f t="shared" si="3"/>
        <v>0</v>
      </c>
      <c r="O33" s="197">
        <f t="shared" si="4"/>
        <v>0</v>
      </c>
      <c r="P33" s="198">
        <f t="shared" si="5"/>
        <v>0</v>
      </c>
    </row>
    <row r="34" spans="1:16" ht="9" customHeight="1">
      <c r="A34" s="120">
        <v>3500</v>
      </c>
      <c r="B34" s="190">
        <v>1</v>
      </c>
      <c r="C34" s="191" t="s">
        <v>89</v>
      </c>
      <c r="D34" s="192">
        <f>B34*A34</f>
        <v>3500</v>
      </c>
      <c r="E34" s="193">
        <f>D34-F34</f>
        <v>3482.9268292682927</v>
      </c>
      <c r="F34" s="192">
        <f>(J34-I34)/(J34+K34)*D34</f>
        <v>17.073170731707332</v>
      </c>
      <c r="G34" s="194">
        <v>0</v>
      </c>
      <c r="I34" s="120">
        <v>3.255</v>
      </c>
      <c r="J34" s="195">
        <f>J32</f>
        <v>3.275</v>
      </c>
      <c r="K34" s="195">
        <f>K32</f>
        <v>0.825</v>
      </c>
      <c r="L34" s="120"/>
      <c r="M34" s="196">
        <f t="shared" si="2"/>
        <v>7716.1854706433005</v>
      </c>
      <c r="N34" s="197">
        <f t="shared" si="3"/>
        <v>7678.545541518211</v>
      </c>
      <c r="O34" s="197">
        <f t="shared" si="4"/>
        <v>37.6399291250893</v>
      </c>
      <c r="P34" s="198">
        <f t="shared" si="5"/>
        <v>0</v>
      </c>
    </row>
    <row r="35" spans="1:16" ht="9" customHeight="1">
      <c r="A35" s="120"/>
      <c r="B35" s="190">
        <v>0</v>
      </c>
      <c r="C35" s="191" t="s">
        <v>83</v>
      </c>
      <c r="D35" s="192">
        <f>B35*1000</f>
        <v>0</v>
      </c>
      <c r="E35" s="193">
        <f>D35-F35</f>
        <v>0</v>
      </c>
      <c r="F35" s="192">
        <f>(J35-I35)/(J35+K35)*D35</f>
        <v>0</v>
      </c>
      <c r="G35" s="194">
        <v>0</v>
      </c>
      <c r="I35" s="120">
        <v>3.255</v>
      </c>
      <c r="J35" s="195">
        <f>J32</f>
        <v>3.275</v>
      </c>
      <c r="K35" s="195">
        <f>K32</f>
        <v>0.825</v>
      </c>
      <c r="L35" s="120"/>
      <c r="M35" s="196">
        <f t="shared" si="2"/>
        <v>0</v>
      </c>
      <c r="N35" s="197">
        <f t="shared" si="3"/>
        <v>0</v>
      </c>
      <c r="O35" s="197">
        <f t="shared" si="4"/>
        <v>0</v>
      </c>
      <c r="P35" s="198">
        <f t="shared" si="5"/>
        <v>0</v>
      </c>
    </row>
    <row r="36" spans="1:16" ht="9" customHeight="1">
      <c r="A36" s="120">
        <v>-930</v>
      </c>
      <c r="B36" s="190">
        <v>0</v>
      </c>
      <c r="C36" s="191" t="s">
        <v>30</v>
      </c>
      <c r="D36" s="192">
        <f>B36*A36</f>
        <v>0</v>
      </c>
      <c r="E36" s="193">
        <f>D36-F36</f>
        <v>0</v>
      </c>
      <c r="F36" s="192">
        <f>(J36-I36)/(J36+K36)*D36</f>
        <v>0</v>
      </c>
      <c r="G36" s="194">
        <v>0</v>
      </c>
      <c r="I36" s="120">
        <v>5.35</v>
      </c>
      <c r="J36" s="195">
        <f>J35</f>
        <v>3.275</v>
      </c>
      <c r="K36" s="195">
        <f>K35</f>
        <v>0.825</v>
      </c>
      <c r="L36" s="120"/>
      <c r="M36" s="196">
        <f t="shared" si="2"/>
        <v>0</v>
      </c>
      <c r="N36" s="197">
        <f t="shared" si="3"/>
        <v>0</v>
      </c>
      <c r="O36" s="197">
        <f t="shared" si="4"/>
        <v>0</v>
      </c>
      <c r="P36" s="198">
        <f t="shared" si="5"/>
        <v>0</v>
      </c>
    </row>
    <row r="37" spans="1:16" ht="9" customHeight="1">
      <c r="A37" s="120">
        <v>-1200</v>
      </c>
      <c r="B37" s="190">
        <v>0</v>
      </c>
      <c r="C37" s="191" t="s">
        <v>31</v>
      </c>
      <c r="D37" s="192">
        <f>B37*A37</f>
        <v>0</v>
      </c>
      <c r="E37" s="193">
        <f>D37-F37</f>
        <v>0</v>
      </c>
      <c r="F37" s="192">
        <f>(J37-I37)/(J37+K37)*D37</f>
        <v>0</v>
      </c>
      <c r="G37" s="194">
        <v>0</v>
      </c>
      <c r="I37" s="120">
        <v>-3</v>
      </c>
      <c r="J37" s="195">
        <f>J36</f>
        <v>3.275</v>
      </c>
      <c r="K37" s="195">
        <f>K36</f>
        <v>0.825</v>
      </c>
      <c r="L37" s="120"/>
      <c r="M37" s="196">
        <f t="shared" si="2"/>
        <v>0</v>
      </c>
      <c r="N37" s="197">
        <f t="shared" si="3"/>
        <v>0</v>
      </c>
      <c r="O37" s="197">
        <f t="shared" si="4"/>
        <v>0</v>
      </c>
      <c r="P37" s="198">
        <f t="shared" si="5"/>
        <v>0</v>
      </c>
    </row>
    <row r="38" spans="1:16" ht="9" customHeight="1">
      <c r="A38" s="120"/>
      <c r="B38" s="190">
        <v>3.7</v>
      </c>
      <c r="C38" s="191" t="s">
        <v>32</v>
      </c>
      <c r="D38" s="192">
        <v>0</v>
      </c>
      <c r="E38" s="199">
        <f>G38*(K38+E72)/(J38+K38)*(-1)</f>
        <v>-2539.0055869153994</v>
      </c>
      <c r="F38" s="200">
        <f>(G38+E38)*(-1)</f>
        <v>-792.1697431176044</v>
      </c>
      <c r="G38" s="201">
        <f>E69*B38*0.6671/E71*1000</f>
        <v>3331.175330033004</v>
      </c>
      <c r="I38" s="120"/>
      <c r="J38" s="195">
        <f>J36</f>
        <v>3.275</v>
      </c>
      <c r="K38" s="195">
        <f>K36</f>
        <v>0.825</v>
      </c>
      <c r="L38" s="120"/>
      <c r="M38" s="196">
        <f t="shared" si="2"/>
        <v>0</v>
      </c>
      <c r="N38" s="197">
        <f t="shared" si="3"/>
        <v>-5597.553719896791</v>
      </c>
      <c r="O38" s="197">
        <f t="shared" si="4"/>
        <v>-1746.4367606077985</v>
      </c>
      <c r="P38" s="198">
        <f t="shared" si="5"/>
        <v>7343.99048050459</v>
      </c>
    </row>
    <row r="39" spans="1:16" ht="9" customHeight="1">
      <c r="A39" s="120"/>
      <c r="B39" s="206"/>
      <c r="C39" s="209" t="s">
        <v>33</v>
      </c>
      <c r="D39" s="208"/>
      <c r="E39" s="193"/>
      <c r="F39" s="192"/>
      <c r="G39" s="201"/>
      <c r="H39" s="120"/>
      <c r="I39" s="120"/>
      <c r="J39" s="195">
        <f aca="true" t="shared" si="6" ref="J39:K41">J38</f>
        <v>3.275</v>
      </c>
      <c r="K39" s="195">
        <f t="shared" si="6"/>
        <v>0.825</v>
      </c>
      <c r="L39" s="120"/>
      <c r="M39" s="196"/>
      <c r="N39" s="197"/>
      <c r="O39" s="197"/>
      <c r="P39" s="198"/>
    </row>
    <row r="40" spans="1:16" ht="9" customHeight="1">
      <c r="A40" s="120">
        <v>1.485</v>
      </c>
      <c r="B40" s="190">
        <v>15</v>
      </c>
      <c r="C40" s="205" t="s">
        <v>79</v>
      </c>
      <c r="D40" s="208">
        <v>0</v>
      </c>
      <c r="E40" s="193">
        <f>(E71-E72-K40)*G40/(J40+K40)</f>
        <v>-3431.760358091559</v>
      </c>
      <c r="F40" s="192">
        <f>(E40+G40)*(-1)</f>
        <v>6057.290768275434</v>
      </c>
      <c r="G40" s="201">
        <f>A40/E71*B40*1000*(-1)</f>
        <v>-2625.5304101838756</v>
      </c>
      <c r="H40" s="120"/>
      <c r="I40" s="120"/>
      <c r="J40" s="195">
        <f t="shared" si="6"/>
        <v>3.275</v>
      </c>
      <c r="K40" s="195">
        <f t="shared" si="6"/>
        <v>0.825</v>
      </c>
      <c r="L40" s="120"/>
      <c r="M40" s="196">
        <f t="shared" si="2"/>
        <v>0</v>
      </c>
      <c r="N40" s="197">
        <f t="shared" si="3"/>
        <v>-7565.742689667353</v>
      </c>
      <c r="O40" s="197">
        <f t="shared" si="4"/>
        <v>13354.051147893913</v>
      </c>
      <c r="P40" s="198">
        <f t="shared" si="5"/>
        <v>-5788.308458226562</v>
      </c>
    </row>
    <row r="41" spans="1:16" ht="9" customHeight="1">
      <c r="A41" s="120">
        <v>1.485</v>
      </c>
      <c r="B41" s="190">
        <v>0</v>
      </c>
      <c r="C41" s="191" t="s">
        <v>80</v>
      </c>
      <c r="D41" s="208">
        <v>0</v>
      </c>
      <c r="E41" s="193">
        <f>(E71-E72-K41)*G41/(J41+K41)</f>
        <v>0</v>
      </c>
      <c r="F41" s="192">
        <f>(E41+G41)*(-1)</f>
        <v>0</v>
      </c>
      <c r="G41" s="201">
        <f>A41/E71*B41*1000</f>
        <v>0</v>
      </c>
      <c r="H41" s="120"/>
      <c r="I41" s="120"/>
      <c r="J41" s="195">
        <f t="shared" si="6"/>
        <v>3.275</v>
      </c>
      <c r="K41" s="195">
        <f t="shared" si="6"/>
        <v>0.825</v>
      </c>
      <c r="L41" s="120"/>
      <c r="M41" s="196">
        <f t="shared" si="2"/>
        <v>0</v>
      </c>
      <c r="N41" s="197">
        <f t="shared" si="3"/>
        <v>0</v>
      </c>
      <c r="O41" s="197">
        <f t="shared" si="4"/>
        <v>0</v>
      </c>
      <c r="P41" s="198">
        <f t="shared" si="5"/>
        <v>0</v>
      </c>
    </row>
    <row r="42" spans="1:16" ht="9" customHeight="1">
      <c r="A42" s="120"/>
      <c r="B42" s="210"/>
      <c r="C42" s="205" t="s">
        <v>34</v>
      </c>
      <c r="D42" s="208"/>
      <c r="E42" s="193"/>
      <c r="F42" s="192"/>
      <c r="G42" s="201"/>
      <c r="H42" s="120"/>
      <c r="I42" s="195"/>
      <c r="J42" s="195"/>
      <c r="K42" s="120"/>
      <c r="L42" s="120"/>
      <c r="M42" s="202"/>
      <c r="N42" s="203"/>
      <c r="O42" s="203"/>
      <c r="P42" s="204"/>
    </row>
    <row r="43" spans="1:16" ht="9" customHeight="1" thickBot="1">
      <c r="A43" s="120"/>
      <c r="B43" s="211"/>
      <c r="C43" s="212" t="s">
        <v>35</v>
      </c>
      <c r="D43" s="213"/>
      <c r="E43" s="214"/>
      <c r="F43" s="213"/>
      <c r="G43" s="215"/>
      <c r="H43" s="120"/>
      <c r="I43" s="195"/>
      <c r="J43" s="195"/>
      <c r="K43" s="120"/>
      <c r="L43" s="120"/>
      <c r="M43" s="216"/>
      <c r="N43" s="217"/>
      <c r="O43" s="217"/>
      <c r="P43" s="218"/>
    </row>
    <row r="44" spans="1:16" ht="9" customHeight="1">
      <c r="A44" s="120"/>
      <c r="B44" s="141"/>
      <c r="C44" s="122" t="s">
        <v>0</v>
      </c>
      <c r="D44" s="219"/>
      <c r="E44" s="122"/>
      <c r="F44" s="219"/>
      <c r="G44" s="142"/>
      <c r="H44" s="120"/>
      <c r="I44" s="195"/>
      <c r="J44" s="195"/>
      <c r="K44" s="120"/>
      <c r="L44" s="120"/>
      <c r="M44" s="227"/>
      <c r="N44" s="227"/>
      <c r="O44" s="227"/>
      <c r="P44" s="227"/>
    </row>
    <row r="45" spans="1:16" ht="9" customHeight="1">
      <c r="A45" s="120"/>
      <c r="B45" s="129"/>
      <c r="C45" s="174" t="s">
        <v>36</v>
      </c>
      <c r="D45" s="220">
        <f>SUM(D14,D17:D43)</f>
        <v>48989</v>
      </c>
      <c r="E45" s="220">
        <f>SUM(E14,E17:E43)</f>
        <v>18009.272657254398</v>
      </c>
      <c r="F45" s="220">
        <f>SUM(F14,F17:F43)</f>
        <v>17863.11194906338</v>
      </c>
      <c r="G45" s="221">
        <f>SUM(G14,G17:G43)</f>
        <v>13116.615393682225</v>
      </c>
      <c r="H45" s="120"/>
      <c r="I45" s="195"/>
      <c r="J45" s="195"/>
      <c r="K45" s="120"/>
      <c r="L45" s="120"/>
      <c r="M45" s="231"/>
      <c r="N45" s="231"/>
      <c r="O45" s="231"/>
      <c r="P45" s="231"/>
    </row>
    <row r="46" spans="1:16" ht="9" customHeight="1" thickBot="1">
      <c r="A46" s="120"/>
      <c r="B46" s="136"/>
      <c r="C46" s="222" t="s">
        <v>37</v>
      </c>
      <c r="D46" s="223">
        <f>D45*2.2045855</f>
        <v>108000.4390595</v>
      </c>
      <c r="E46" s="223">
        <f>E45*2.2045855</f>
        <v>39702.981365729516</v>
      </c>
      <c r="F46" s="223">
        <f>F45*2.2045855</f>
        <v>39380.75758778186</v>
      </c>
      <c r="G46" s="224">
        <f>G45*2.2045855</f>
        <v>28916.700105988624</v>
      </c>
      <c r="H46" s="120"/>
      <c r="I46" s="195"/>
      <c r="J46" s="195"/>
      <c r="K46" s="120"/>
      <c r="L46" s="120"/>
      <c r="M46" s="231"/>
      <c r="N46" s="231"/>
      <c r="O46" s="231"/>
      <c r="P46" s="231"/>
    </row>
    <row r="47" spans="1:16" ht="9.75" customHeight="1">
      <c r="A47" s="120"/>
      <c r="B47" s="141"/>
      <c r="C47" s="225" t="s">
        <v>38</v>
      </c>
      <c r="D47" s="226">
        <f>E45/2000</f>
        <v>9.0046363286272</v>
      </c>
      <c r="E47" s="227">
        <f aca="true" t="shared" si="7" ref="E47:E52">D47*2204.5855</f>
        <v>19851.49068286476</v>
      </c>
      <c r="F47" s="228" t="s">
        <v>39</v>
      </c>
      <c r="G47" s="142"/>
      <c r="H47" s="120"/>
      <c r="I47" s="195"/>
      <c r="J47" s="195"/>
      <c r="K47" s="120"/>
      <c r="L47" s="120"/>
      <c r="M47" s="231"/>
      <c r="N47" s="231"/>
      <c r="O47" s="231"/>
      <c r="P47" s="231"/>
    </row>
    <row r="48" spans="1:16" ht="9.75" customHeight="1">
      <c r="A48" s="120"/>
      <c r="B48" s="129"/>
      <c r="C48" s="229" t="s">
        <v>40</v>
      </c>
      <c r="D48" s="230">
        <f>E45/2000</f>
        <v>9.0046363286272</v>
      </c>
      <c r="E48" s="231">
        <f t="shared" si="7"/>
        <v>19851.49068286476</v>
      </c>
      <c r="F48" s="232" t="s">
        <v>41</v>
      </c>
      <c r="G48" s="233">
        <v>1.65</v>
      </c>
      <c r="H48" s="120"/>
      <c r="I48" s="195"/>
      <c r="J48" s="195"/>
      <c r="K48" s="120"/>
      <c r="L48" s="120"/>
      <c r="M48" s="231"/>
      <c r="N48" s="231"/>
      <c r="O48" s="231"/>
      <c r="P48" s="231"/>
    </row>
    <row r="49" spans="1:16" ht="9.75" customHeight="1">
      <c r="A49" s="120"/>
      <c r="B49" s="129"/>
      <c r="C49" s="229" t="s">
        <v>42</v>
      </c>
      <c r="D49" s="230">
        <f>F45/2000</f>
        <v>8.93155597453169</v>
      </c>
      <c r="E49" s="231">
        <f t="shared" si="7"/>
        <v>19690.378793890934</v>
      </c>
      <c r="F49" s="232" t="s">
        <v>43</v>
      </c>
      <c r="G49" s="233">
        <v>2.45</v>
      </c>
      <c r="H49" s="120"/>
      <c r="I49" s="195"/>
      <c r="J49" s="195"/>
      <c r="K49" s="120"/>
      <c r="L49" s="120"/>
      <c r="M49" s="231"/>
      <c r="N49" s="231"/>
      <c r="O49" s="231"/>
      <c r="P49" s="231"/>
    </row>
    <row r="50" spans="1:16" ht="9.75" customHeight="1">
      <c r="A50" s="120"/>
      <c r="B50" s="129"/>
      <c r="C50" s="229" t="s">
        <v>44</v>
      </c>
      <c r="D50" s="230">
        <f>F45/2000</f>
        <v>8.93155597453169</v>
      </c>
      <c r="E50" s="231">
        <f t="shared" si="7"/>
        <v>19690.378793890934</v>
      </c>
      <c r="F50" s="232" t="s">
        <v>45</v>
      </c>
      <c r="G50" s="233">
        <v>1.65</v>
      </c>
      <c r="H50" s="120"/>
      <c r="I50" s="120"/>
      <c r="J50" s="120"/>
      <c r="K50" s="120"/>
      <c r="L50" s="120"/>
      <c r="M50" s="231"/>
      <c r="N50" s="231"/>
      <c r="O50" s="231"/>
      <c r="P50" s="231"/>
    </row>
    <row r="51" spans="1:16" ht="9.75" customHeight="1">
      <c r="A51" s="120"/>
      <c r="B51" s="129"/>
      <c r="C51" s="229" t="s">
        <v>46</v>
      </c>
      <c r="D51" s="230">
        <f>G45/2000</f>
        <v>6.558307696841112</v>
      </c>
      <c r="E51" s="231">
        <f t="shared" si="7"/>
        <v>14458.350052994312</v>
      </c>
      <c r="F51" s="232" t="s">
        <v>47</v>
      </c>
      <c r="G51" s="233">
        <f>E71-E72-1.65-(G52/2)</f>
        <v>3.8440000000000007</v>
      </c>
      <c r="H51" s="120"/>
      <c r="I51" s="120"/>
      <c r="J51" s="120"/>
      <c r="K51" s="120">
        <f>(G51*3.281)</f>
        <v>12.612164000000003</v>
      </c>
      <c r="L51" s="120" t="s">
        <v>97</v>
      </c>
      <c r="M51" s="231"/>
      <c r="N51" s="231"/>
      <c r="O51" s="231"/>
      <c r="P51" s="231"/>
    </row>
    <row r="52" spans="1:12" ht="9.75" customHeight="1">
      <c r="A52" s="120"/>
      <c r="B52" s="129"/>
      <c r="C52" s="229" t="s">
        <v>48</v>
      </c>
      <c r="D52" s="230">
        <f>G45/2000</f>
        <v>6.558307696841112</v>
      </c>
      <c r="E52" s="231">
        <f t="shared" si="7"/>
        <v>14458.350052994312</v>
      </c>
      <c r="F52" s="232" t="s">
        <v>49</v>
      </c>
      <c r="G52" s="247">
        <v>1.38</v>
      </c>
      <c r="H52" s="120"/>
      <c r="I52" s="120"/>
      <c r="J52" s="126"/>
      <c r="K52" s="126"/>
      <c r="L52" s="127"/>
    </row>
    <row r="53" spans="1:12" ht="9.75" customHeight="1" thickBot="1">
      <c r="A53" s="120"/>
      <c r="B53" s="136"/>
      <c r="C53" s="234"/>
      <c r="D53" s="235"/>
      <c r="E53" s="137"/>
      <c r="F53" s="236"/>
      <c r="G53" s="237"/>
      <c r="H53" s="120"/>
      <c r="I53" s="120"/>
      <c r="J53" s="126"/>
      <c r="K53" s="126"/>
      <c r="L53" s="127"/>
    </row>
    <row r="54" spans="1:12" ht="9.75" customHeight="1">
      <c r="A54" s="120"/>
      <c r="B54" s="120"/>
      <c r="C54" s="120" t="s">
        <v>0</v>
      </c>
      <c r="D54" s="120"/>
      <c r="E54" s="120"/>
      <c r="F54" s="120"/>
      <c r="G54" s="120"/>
      <c r="H54" s="120"/>
      <c r="I54" s="120"/>
      <c r="J54" s="126"/>
      <c r="K54" s="126"/>
      <c r="L54" s="127"/>
    </row>
    <row r="55" spans="1:12" ht="9.75" customHeight="1">
      <c r="A55" s="120"/>
      <c r="B55" s="120"/>
      <c r="C55" s="120"/>
      <c r="D55" s="120"/>
      <c r="E55" s="120"/>
      <c r="F55" s="120" t="s">
        <v>50</v>
      </c>
      <c r="G55" s="120"/>
      <c r="H55" s="120"/>
      <c r="I55" s="120"/>
      <c r="J55" s="126"/>
      <c r="K55" s="126"/>
      <c r="L55" s="127"/>
    </row>
    <row r="56" spans="1:12" ht="9.75" customHeight="1">
      <c r="A56" s="120"/>
      <c r="B56" s="120"/>
      <c r="C56" s="120" t="s">
        <v>51</v>
      </c>
      <c r="D56" s="120"/>
      <c r="E56" s="120"/>
      <c r="F56" s="120" t="s">
        <v>52</v>
      </c>
      <c r="G56" s="120" t="s">
        <v>53</v>
      </c>
      <c r="H56" s="120"/>
      <c r="I56" s="120"/>
      <c r="J56" s="126"/>
      <c r="K56" s="126"/>
      <c r="L56" s="127"/>
    </row>
    <row r="57" spans="1:12" ht="9.75" customHeight="1">
      <c r="A57" s="120"/>
      <c r="B57" s="120"/>
      <c r="C57" s="238" t="s">
        <v>54</v>
      </c>
      <c r="D57" s="239">
        <f>D47+D48</f>
        <v>18.0092726572544</v>
      </c>
      <c r="E57" s="120">
        <f aca="true" t="shared" si="8" ref="E57:E65">IF(D57&gt;F57,"----------&gt;&gt;","")</f>
      </c>
      <c r="F57" s="239">
        <f>G48*3+15+(E74-2.5)*10</f>
        <v>20.449999999999996</v>
      </c>
      <c r="G57" s="239">
        <f>G48*3+18</f>
        <v>22.95</v>
      </c>
      <c r="H57" s="120">
        <f aca="true" t="shared" si="9" ref="H57:H65">IF(D57&gt;G57,"&lt;&lt;----","")</f>
      </c>
      <c r="I57" s="120"/>
      <c r="J57" s="126"/>
      <c r="K57" s="126"/>
      <c r="L57" s="127"/>
    </row>
    <row r="58" spans="1:12" ht="9.75" customHeight="1">
      <c r="A58" s="120"/>
      <c r="B58" s="120"/>
      <c r="C58" s="238" t="s">
        <v>55</v>
      </c>
      <c r="D58" s="239">
        <f>SUM(D47:D49)</f>
        <v>26.94082863178609</v>
      </c>
      <c r="E58" s="120">
        <f t="shared" si="8"/>
      </c>
      <c r="F58" s="239">
        <f>(SUM(G48:G49))*3+15+(E74-2.5)*10</f>
        <v>27.799999999999997</v>
      </c>
      <c r="G58" s="239">
        <f>SUM(G48:G49)*3+18</f>
        <v>30.299999999999997</v>
      </c>
      <c r="H58" s="120">
        <f t="shared" si="9"/>
      </c>
      <c r="I58" s="120"/>
      <c r="J58" s="126"/>
      <c r="K58" s="126"/>
      <c r="L58" s="127"/>
    </row>
    <row r="59" spans="1:12" ht="9.75" customHeight="1">
      <c r="A59" s="120"/>
      <c r="B59" s="120"/>
      <c r="C59" s="238" t="s">
        <v>56</v>
      </c>
      <c r="D59" s="239">
        <f>SUM(D47:D50)</f>
        <v>35.87238460631778</v>
      </c>
      <c r="E59" s="120" t="str">
        <f t="shared" si="8"/>
        <v>----------&gt;&gt;</v>
      </c>
      <c r="F59" s="239">
        <f>(SUM(G48:G50))*3+15+(E74-2.5)*10</f>
        <v>32.75</v>
      </c>
      <c r="G59" s="239">
        <f>SUM(G48:G50)*3+18</f>
        <v>35.25</v>
      </c>
      <c r="H59" s="120" t="str">
        <f t="shared" si="9"/>
        <v>&lt;&lt;----</v>
      </c>
      <c r="I59" s="120"/>
      <c r="J59" s="126"/>
      <c r="K59" s="126"/>
      <c r="L59" s="127"/>
    </row>
    <row r="60" spans="1:12" ht="9.75" customHeight="1">
      <c r="A60" s="120"/>
      <c r="B60" s="120"/>
      <c r="C60" s="238" t="s">
        <v>57</v>
      </c>
      <c r="D60" s="239">
        <f>SUM(D47:D52)</f>
        <v>48.989000000000004</v>
      </c>
      <c r="E60" s="120" t="str">
        <f t="shared" si="8"/>
        <v>----------&gt;&gt;</v>
      </c>
      <c r="F60" s="239">
        <f>(SUM(G48:G52))*3+15+(E74-2.5)*10</f>
        <v>48.422</v>
      </c>
      <c r="G60" s="239">
        <f>SUM(G48:G52)*3+18</f>
        <v>50.922</v>
      </c>
      <c r="H60" s="120">
        <f t="shared" si="9"/>
      </c>
      <c r="I60" s="120"/>
      <c r="J60" s="126"/>
      <c r="K60" s="126"/>
      <c r="L60" s="127"/>
    </row>
    <row r="61" spans="1:12" ht="9.75" customHeight="1">
      <c r="A61" s="120"/>
      <c r="B61" s="120"/>
      <c r="C61" s="238" t="s">
        <v>58</v>
      </c>
      <c r="D61" s="239">
        <f>SUM(D48:D50)</f>
        <v>26.86774827769058</v>
      </c>
      <c r="E61" s="120">
        <f t="shared" si="8"/>
      </c>
      <c r="F61" s="239">
        <f>(SUM(G49:G50)*3+15+(E74-2.5)*10)</f>
        <v>27.799999999999997</v>
      </c>
      <c r="G61" s="239">
        <f>SUM(G49:G50)*3+18</f>
        <v>30.299999999999997</v>
      </c>
      <c r="H61" s="120">
        <f t="shared" si="9"/>
      </c>
      <c r="I61" s="120"/>
      <c r="J61" s="126"/>
      <c r="K61" s="126"/>
      <c r="L61" s="127"/>
    </row>
    <row r="62" spans="1:12" ht="9.75" customHeight="1">
      <c r="A62" s="120"/>
      <c r="B62" s="120"/>
      <c r="C62" s="238" t="s">
        <v>59</v>
      </c>
      <c r="D62" s="239">
        <f>SUM(D48:D52)</f>
        <v>39.984363671372805</v>
      </c>
      <c r="E62" s="120">
        <f t="shared" si="8"/>
      </c>
      <c r="F62" s="239">
        <f>(SUM(G49:G52))*3+15+(E74-2.5)*10</f>
        <v>43.47200000000001</v>
      </c>
      <c r="G62" s="239">
        <f>SUM(G49:G52)*3+18</f>
        <v>45.97200000000001</v>
      </c>
      <c r="H62" s="120">
        <f t="shared" si="9"/>
      </c>
      <c r="I62" s="120"/>
      <c r="J62" s="126"/>
      <c r="K62" s="126"/>
      <c r="L62" s="127"/>
    </row>
    <row r="63" spans="1:12" ht="9.75" customHeight="1">
      <c r="A63" s="120"/>
      <c r="B63" s="120"/>
      <c r="C63" s="238" t="s">
        <v>60</v>
      </c>
      <c r="D63" s="239">
        <f>SUM(D49:D50)</f>
        <v>17.86311194906338</v>
      </c>
      <c r="E63" s="120">
        <f t="shared" si="8"/>
      </c>
      <c r="F63" s="239">
        <f>G50*3+15+(E74-2.5)*10</f>
        <v>20.449999999999996</v>
      </c>
      <c r="G63" s="239">
        <f>G50*3+18</f>
        <v>22.95</v>
      </c>
      <c r="H63" s="120">
        <f t="shared" si="9"/>
      </c>
      <c r="I63" s="120"/>
      <c r="J63" s="126"/>
      <c r="K63" s="126"/>
      <c r="L63" s="127"/>
    </row>
    <row r="64" spans="1:12" ht="9.75" customHeight="1">
      <c r="A64" s="120"/>
      <c r="B64" s="120"/>
      <c r="C64" s="238" t="s">
        <v>61</v>
      </c>
      <c r="D64" s="239">
        <f>SUM(D49:D52)</f>
        <v>30.979727342745605</v>
      </c>
      <c r="E64" s="120">
        <f t="shared" si="8"/>
      </c>
      <c r="F64" s="239">
        <f>SUM(G50:G52)*3+15+(E74-2.5)*10</f>
        <v>36.122</v>
      </c>
      <c r="G64" s="239">
        <f>SUM(G50:G52)*3+18</f>
        <v>38.622</v>
      </c>
      <c r="H64" s="120">
        <f t="shared" si="9"/>
      </c>
      <c r="I64" s="120"/>
      <c r="J64" s="126"/>
      <c r="K64" s="126"/>
      <c r="L64" s="127"/>
    </row>
    <row r="65" spans="1:12" ht="9.75" customHeight="1">
      <c r="A65" s="120"/>
      <c r="B65" s="120"/>
      <c r="C65" s="238" t="s">
        <v>62</v>
      </c>
      <c r="D65" s="239">
        <f>SUM(D51:D52)</f>
        <v>13.116615393682224</v>
      </c>
      <c r="E65" s="120">
        <f t="shared" si="8"/>
      </c>
      <c r="F65" s="239">
        <f>(G52*3+15)+(E74-2.5)*10</f>
        <v>19.64</v>
      </c>
      <c r="G65" s="239">
        <f>G52*3+18</f>
        <v>22.14</v>
      </c>
      <c r="H65" s="120">
        <f t="shared" si="9"/>
      </c>
      <c r="I65" s="120"/>
      <c r="J65" s="126"/>
      <c r="K65" s="126"/>
      <c r="L65" s="127"/>
    </row>
    <row r="66" spans="1:12" ht="9.75" customHeight="1" thickBot="1">
      <c r="A66" s="120"/>
      <c r="B66" s="120"/>
      <c r="C66" s="120" t="s">
        <v>0</v>
      </c>
      <c r="D66" s="120"/>
      <c r="E66" s="120"/>
      <c r="F66" s="120"/>
      <c r="G66" s="120"/>
      <c r="H66" s="120"/>
      <c r="I66" s="120"/>
      <c r="J66" s="126"/>
      <c r="K66" s="126"/>
      <c r="L66" s="127"/>
    </row>
    <row r="67" spans="1:12" ht="9.75" customHeight="1">
      <c r="A67" s="120"/>
      <c r="B67" s="120"/>
      <c r="C67" s="141" t="s">
        <v>63</v>
      </c>
      <c r="D67" s="122" t="s">
        <v>64</v>
      </c>
      <c r="E67" s="240">
        <v>20.07</v>
      </c>
      <c r="F67" s="241">
        <v>1.79</v>
      </c>
      <c r="G67" s="122" t="s">
        <v>65</v>
      </c>
      <c r="H67" s="242">
        <f>E69-H68</f>
        <v>3.281071251768033</v>
      </c>
      <c r="I67" s="120"/>
      <c r="J67" s="126"/>
      <c r="K67" s="126"/>
      <c r="L67" s="127"/>
    </row>
    <row r="68" spans="1:12" ht="9.75" customHeight="1">
      <c r="A68" s="120"/>
      <c r="B68" s="120"/>
      <c r="C68" s="129" t="s">
        <v>81</v>
      </c>
      <c r="D68" s="156" t="s">
        <v>64</v>
      </c>
      <c r="E68" s="248">
        <v>6.9</v>
      </c>
      <c r="F68" s="243">
        <v>0.94</v>
      </c>
      <c r="G68" s="156" t="s">
        <v>66</v>
      </c>
      <c r="H68" s="244">
        <f>E69*F69/E71+(G40+G41+G38)/1000</f>
        <v>8.168928748231966</v>
      </c>
      <c r="I68" s="120"/>
      <c r="J68" s="126"/>
      <c r="K68" s="126"/>
      <c r="L68" s="127"/>
    </row>
    <row r="69" spans="1:12" ht="9.75" customHeight="1">
      <c r="A69" s="120"/>
      <c r="B69" s="120"/>
      <c r="C69" s="129" t="s">
        <v>67</v>
      </c>
      <c r="D69" s="156" t="s">
        <v>64</v>
      </c>
      <c r="E69" s="248">
        <v>11.45</v>
      </c>
      <c r="F69" s="243">
        <v>5.53</v>
      </c>
      <c r="G69" s="156"/>
      <c r="H69" s="157"/>
      <c r="I69" s="120"/>
      <c r="J69" s="126"/>
      <c r="K69" s="126"/>
      <c r="L69" s="127"/>
    </row>
    <row r="70" spans="1:12" ht="9.75" customHeight="1">
      <c r="A70" s="120"/>
      <c r="B70" s="120"/>
      <c r="C70" s="129" t="s">
        <v>111</v>
      </c>
      <c r="D70" s="156" t="s">
        <v>69</v>
      </c>
      <c r="E70" s="249">
        <v>2.948</v>
      </c>
      <c r="F70" s="243"/>
      <c r="G70" s="156"/>
      <c r="H70" s="157"/>
      <c r="I70" s="120"/>
      <c r="J70" s="126"/>
      <c r="K70" s="126"/>
      <c r="L70" s="127"/>
    </row>
    <row r="71" spans="1:14" ht="9.75" customHeight="1">
      <c r="A71" s="120"/>
      <c r="B71" s="120"/>
      <c r="C71" s="129" t="s">
        <v>110</v>
      </c>
      <c r="D71" s="156" t="s">
        <v>71</v>
      </c>
      <c r="E71" s="250">
        <v>8.484</v>
      </c>
      <c r="F71" s="251" t="s">
        <v>90</v>
      </c>
      <c r="G71" s="156" t="s">
        <v>72</v>
      </c>
      <c r="H71" s="244">
        <f>E67+E68+H67</f>
        <v>30.251071251768032</v>
      </c>
      <c r="I71" s="120"/>
      <c r="J71" s="126"/>
      <c r="K71" s="126"/>
      <c r="L71" s="127"/>
      <c r="N71" s="162" t="s">
        <v>109</v>
      </c>
    </row>
    <row r="72" spans="1:12" ht="9.75" customHeight="1">
      <c r="A72" s="120"/>
      <c r="B72" s="120"/>
      <c r="C72" s="129" t="s">
        <v>73</v>
      </c>
      <c r="D72" s="156" t="s">
        <v>71</v>
      </c>
      <c r="E72" s="243">
        <v>2.3</v>
      </c>
      <c r="F72" s="243"/>
      <c r="G72" s="156" t="s">
        <v>74</v>
      </c>
      <c r="H72" s="244">
        <f>(E67*F67+E68*F68+H67*E72)/H71</f>
        <v>1.6514378437473243</v>
      </c>
      <c r="I72" s="120"/>
      <c r="J72" s="126"/>
      <c r="K72" s="126"/>
      <c r="L72" s="127"/>
    </row>
    <row r="73" spans="1:12" ht="9.75" customHeight="1">
      <c r="A73" s="120"/>
      <c r="B73" s="120"/>
      <c r="C73" s="129" t="s">
        <v>75</v>
      </c>
      <c r="D73" s="156" t="s">
        <v>71</v>
      </c>
      <c r="E73" s="243">
        <v>11.3</v>
      </c>
      <c r="F73" s="243"/>
      <c r="G73" s="156"/>
      <c r="H73" s="157"/>
      <c r="I73" s="120"/>
      <c r="J73" s="126"/>
      <c r="K73" s="126"/>
      <c r="L73" s="127"/>
    </row>
    <row r="74" spans="1:12" ht="9.75" customHeight="1" thickBot="1">
      <c r="A74" s="120"/>
      <c r="B74" s="120"/>
      <c r="C74" s="136" t="s">
        <v>76</v>
      </c>
      <c r="D74" s="137" t="s">
        <v>71</v>
      </c>
      <c r="E74" s="137">
        <v>2.55</v>
      </c>
      <c r="F74" s="137"/>
      <c r="G74" s="137"/>
      <c r="H74" s="185"/>
      <c r="I74" s="120"/>
      <c r="J74" s="126"/>
      <c r="K74" s="126"/>
      <c r="L74" s="127"/>
    </row>
    <row r="75" spans="1:12" ht="9.75" customHeight="1">
      <c r="A75" s="120"/>
      <c r="B75" s="120"/>
      <c r="C75" s="122"/>
      <c r="D75" s="122"/>
      <c r="E75" s="240"/>
      <c r="F75" s="241"/>
      <c r="G75" s="122"/>
      <c r="H75" s="241"/>
      <c r="I75" s="243"/>
      <c r="J75" s="126"/>
      <c r="K75" s="126"/>
      <c r="L75" s="127"/>
    </row>
    <row r="76" spans="1:12" ht="9.75" customHeight="1">
      <c r="A76" s="120"/>
      <c r="B76" s="120"/>
      <c r="C76" s="156"/>
      <c r="D76" s="156"/>
      <c r="E76" s="248"/>
      <c r="F76" s="243"/>
      <c r="G76" s="156"/>
      <c r="H76" s="243"/>
      <c r="I76" s="243"/>
      <c r="J76" s="126"/>
      <c r="K76" s="126"/>
      <c r="L76" s="127"/>
    </row>
    <row r="77" spans="1:12" ht="9.75" customHeight="1">
      <c r="A77" s="120"/>
      <c r="B77" s="120"/>
      <c r="C77" s="156"/>
      <c r="D77" s="156"/>
      <c r="E77" s="248"/>
      <c r="F77" s="243"/>
      <c r="G77" s="156"/>
      <c r="H77" s="156"/>
      <c r="I77" s="156"/>
      <c r="J77" s="126"/>
      <c r="K77" s="126"/>
      <c r="L77" s="245"/>
    </row>
    <row r="78" spans="1:12" ht="9.75" customHeight="1">
      <c r="A78" s="120"/>
      <c r="B78" s="120"/>
      <c r="C78" s="156"/>
      <c r="D78" s="156"/>
      <c r="E78" s="252"/>
      <c r="F78" s="243"/>
      <c r="G78" s="156"/>
      <c r="H78" s="156"/>
      <c r="I78" s="243"/>
      <c r="J78" s="126"/>
      <c r="K78" s="126"/>
      <c r="L78" s="127"/>
    </row>
    <row r="79" spans="1:14" ht="9.75" customHeight="1">
      <c r="A79" s="120"/>
      <c r="B79" s="120"/>
      <c r="C79" s="156"/>
      <c r="D79" s="156"/>
      <c r="E79" s="253"/>
      <c r="F79" s="251"/>
      <c r="G79" s="156"/>
      <c r="H79" s="243"/>
      <c r="I79" s="243"/>
      <c r="J79" s="126"/>
      <c r="K79" s="126"/>
      <c r="L79" s="127"/>
      <c r="N79" s="162"/>
    </row>
    <row r="80" spans="1:12" ht="9.75" customHeight="1">
      <c r="A80" s="120"/>
      <c r="B80" s="120"/>
      <c r="C80" s="156"/>
      <c r="D80" s="156"/>
      <c r="E80" s="243"/>
      <c r="F80" s="243"/>
      <c r="G80" s="156"/>
      <c r="H80" s="243"/>
      <c r="I80" s="243"/>
      <c r="J80" s="126"/>
      <c r="K80" s="126"/>
      <c r="L80" s="127"/>
    </row>
    <row r="81" spans="1:12" ht="9.75" customHeight="1">
      <c r="A81" s="120"/>
      <c r="B81" s="120"/>
      <c r="C81" s="156"/>
      <c r="D81" s="156"/>
      <c r="E81" s="243"/>
      <c r="F81" s="243"/>
      <c r="G81" s="156"/>
      <c r="H81" s="156"/>
      <c r="I81" s="156"/>
      <c r="J81" s="126"/>
      <c r="K81" s="126"/>
      <c r="L81" s="127"/>
    </row>
    <row r="82" spans="1:12" ht="9.75" customHeight="1">
      <c r="A82" s="120"/>
      <c r="B82" s="120"/>
      <c r="C82" s="156"/>
      <c r="D82" s="156"/>
      <c r="E82" s="252"/>
      <c r="F82" s="243"/>
      <c r="G82" s="156"/>
      <c r="H82" s="156"/>
      <c r="I82" s="156"/>
      <c r="J82" s="126"/>
      <c r="K82" s="126"/>
      <c r="L82" s="127"/>
    </row>
  </sheetData>
  <mergeCells count="4">
    <mergeCell ref="B6:C6"/>
    <mergeCell ref="D6:E6"/>
    <mergeCell ref="F6:G6"/>
    <mergeCell ref="B7:C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A1" sqref="A1:IV16384"/>
    </sheetView>
  </sheetViews>
  <sheetFormatPr defaultColWidth="8.796875" defaultRowHeight="15"/>
  <cols>
    <col min="1" max="1" width="7" style="0" customWidth="1"/>
    <col min="2" max="2" width="3.09765625" style="0" customWidth="1"/>
    <col min="3" max="3" width="31.69921875" style="0" customWidth="1"/>
    <col min="4" max="6" width="9.09765625" style="0" customWidth="1"/>
    <col min="7" max="7" width="9.3984375" style="0" customWidth="1"/>
    <col min="8" max="10" width="7.69921875" style="0" hidden="1" customWidth="1"/>
    <col min="11" max="16384" width="11" style="0" customWidth="1"/>
  </cols>
  <sheetData>
    <row r="1" spans="1:11" ht="15">
      <c r="A1" s="2"/>
      <c r="B1" s="3"/>
      <c r="C1" s="4" t="s">
        <v>0</v>
      </c>
      <c r="D1" s="4" t="s">
        <v>0</v>
      </c>
      <c r="E1" s="4" t="s">
        <v>0</v>
      </c>
      <c r="F1" s="5" t="s">
        <v>1</v>
      </c>
      <c r="G1" s="6" t="s">
        <v>93</v>
      </c>
      <c r="H1" s="7"/>
      <c r="I1" s="7"/>
      <c r="J1" s="7"/>
      <c r="K1" s="8"/>
    </row>
    <row r="2" spans="1:11" ht="15">
      <c r="A2" s="2"/>
      <c r="B2" s="9"/>
      <c r="C2" s="10" t="s">
        <v>0</v>
      </c>
      <c r="D2" s="7"/>
      <c r="E2" s="7"/>
      <c r="F2" s="11" t="s">
        <v>2</v>
      </c>
      <c r="G2" s="12">
        <v>39205</v>
      </c>
      <c r="H2" s="7"/>
      <c r="I2" s="7"/>
      <c r="J2" s="7"/>
      <c r="K2" s="8"/>
    </row>
    <row r="3" spans="1:11" ht="15">
      <c r="A3" s="2"/>
      <c r="B3" s="9"/>
      <c r="C3" s="7" t="s">
        <v>0</v>
      </c>
      <c r="D3" s="7"/>
      <c r="E3" s="7"/>
      <c r="F3" s="13" t="s">
        <v>3</v>
      </c>
      <c r="G3" s="14" t="e">
        <f ca="1">TEXT(NOW(),"TT.MM.JJ")</f>
        <v>#VALUE!</v>
      </c>
      <c r="H3" s="7"/>
      <c r="I3" s="7"/>
      <c r="J3" s="7"/>
      <c r="K3" s="8"/>
    </row>
    <row r="4" spans="1:11" ht="15.75" thickBot="1">
      <c r="A4" s="2"/>
      <c r="B4" s="15"/>
      <c r="C4" s="16" t="s">
        <v>0</v>
      </c>
      <c r="D4" s="16" t="s">
        <v>0</v>
      </c>
      <c r="E4" s="16" t="s">
        <v>0</v>
      </c>
      <c r="F4" s="17" t="s">
        <v>4</v>
      </c>
      <c r="G4" s="18" t="s">
        <v>94</v>
      </c>
      <c r="H4" s="7"/>
      <c r="I4" s="7"/>
      <c r="J4" s="7"/>
      <c r="K4" s="8"/>
    </row>
    <row r="5" spans="1:11" ht="9.75" customHeight="1" thickBot="1">
      <c r="A5" s="19"/>
      <c r="B5" s="9"/>
      <c r="C5" s="7" t="s">
        <v>0</v>
      </c>
      <c r="D5" s="7"/>
      <c r="E5" s="7"/>
      <c r="F5" s="7"/>
      <c r="G5" s="20"/>
      <c r="H5" s="7"/>
      <c r="I5" s="7"/>
      <c r="J5" s="7"/>
      <c r="K5" s="8"/>
    </row>
    <row r="6" spans="1:11" ht="18" thickBot="1">
      <c r="A6" s="21"/>
      <c r="B6" s="22"/>
      <c r="C6" s="23" t="s">
        <v>85</v>
      </c>
      <c r="D6" s="24"/>
      <c r="E6" s="25" t="s">
        <v>77</v>
      </c>
      <c r="F6" s="26" t="s">
        <v>5</v>
      </c>
      <c r="G6" s="27"/>
      <c r="H6" s="28"/>
      <c r="I6" s="28"/>
      <c r="J6" s="28"/>
      <c r="K6" s="8"/>
    </row>
    <row r="7" spans="1:11" ht="9.75" customHeight="1">
      <c r="A7" s="29"/>
      <c r="B7" s="30"/>
      <c r="C7" s="31"/>
      <c r="D7" s="31"/>
      <c r="E7" s="31"/>
      <c r="F7" s="32"/>
      <c r="G7" s="33"/>
      <c r="H7" s="32"/>
      <c r="I7" s="32"/>
      <c r="J7" s="32"/>
      <c r="K7" s="8"/>
    </row>
    <row r="8" spans="1:11" ht="13.5">
      <c r="A8" s="29"/>
      <c r="B8" s="30"/>
      <c r="C8" s="34" t="s">
        <v>84</v>
      </c>
      <c r="D8" s="35"/>
      <c r="E8" s="35"/>
      <c r="F8" s="36"/>
      <c r="G8" s="37"/>
      <c r="H8" s="32"/>
      <c r="I8" s="32"/>
      <c r="J8" s="32"/>
      <c r="K8" s="8"/>
    </row>
    <row r="9" spans="1:11" ht="13.5">
      <c r="A9" s="29"/>
      <c r="B9" s="30"/>
      <c r="C9" s="38" t="s">
        <v>6</v>
      </c>
      <c r="D9" s="39"/>
      <c r="E9" s="39"/>
      <c r="F9" s="40">
        <f>E71</f>
        <v>2.722</v>
      </c>
      <c r="G9" s="37"/>
      <c r="H9" s="32"/>
      <c r="I9" s="32"/>
      <c r="J9" s="32"/>
      <c r="K9" s="8"/>
    </row>
    <row r="10" spans="1:11" ht="13.5">
      <c r="A10" s="29"/>
      <c r="B10" s="30"/>
      <c r="C10" s="41" t="s">
        <v>7</v>
      </c>
      <c r="D10" s="36"/>
      <c r="E10" s="36"/>
      <c r="F10" s="40">
        <f>E72</f>
        <v>8.5</v>
      </c>
      <c r="G10" s="37"/>
      <c r="H10" s="32"/>
      <c r="I10" s="32"/>
      <c r="J10" s="32"/>
      <c r="K10" s="8"/>
    </row>
    <row r="11" spans="1:11" ht="13.5">
      <c r="A11" s="32"/>
      <c r="B11" s="30"/>
      <c r="C11" s="42" t="s">
        <v>8</v>
      </c>
      <c r="D11" s="7"/>
      <c r="E11" s="7"/>
      <c r="F11" s="43"/>
      <c r="G11" s="20"/>
      <c r="H11" s="32"/>
      <c r="I11" s="32"/>
      <c r="J11" s="32"/>
      <c r="K11" s="8"/>
    </row>
    <row r="12" spans="1:11" ht="12.75">
      <c r="A12" s="44"/>
      <c r="B12" s="45"/>
      <c r="C12" s="32" t="s">
        <v>0</v>
      </c>
      <c r="D12" s="46" t="s">
        <v>9</v>
      </c>
      <c r="E12" s="47" t="s">
        <v>10</v>
      </c>
      <c r="F12" s="46" t="s">
        <v>11</v>
      </c>
      <c r="G12" s="48" t="s">
        <v>12</v>
      </c>
      <c r="H12" s="32"/>
      <c r="I12" s="32"/>
      <c r="J12" s="32"/>
      <c r="K12" s="8"/>
    </row>
    <row r="13" spans="1:11" ht="12.75">
      <c r="A13" s="44"/>
      <c r="B13" s="45"/>
      <c r="C13" s="32" t="s">
        <v>0</v>
      </c>
      <c r="D13" s="46" t="s">
        <v>13</v>
      </c>
      <c r="E13" s="49" t="s">
        <v>14</v>
      </c>
      <c r="F13" s="46" t="s">
        <v>14</v>
      </c>
      <c r="G13" s="48" t="s">
        <v>14</v>
      </c>
      <c r="H13" s="32" t="s">
        <v>15</v>
      </c>
      <c r="I13" s="32" t="s">
        <v>16</v>
      </c>
      <c r="J13" s="32" t="s">
        <v>17</v>
      </c>
      <c r="K13" s="8"/>
    </row>
    <row r="14" spans="1:11" ht="12.75">
      <c r="A14" s="44"/>
      <c r="B14" s="45"/>
      <c r="C14" s="50" t="s">
        <v>18</v>
      </c>
      <c r="D14" s="51">
        <f>SUM(E14:G14)</f>
        <v>41142</v>
      </c>
      <c r="E14" s="52">
        <f>H72*(J14+H73)/(I14+J14)*1000</f>
        <v>18283.64638629842</v>
      </c>
      <c r="F14" s="51">
        <f>H72*1000-E14</f>
        <v>11982.801672525107</v>
      </c>
      <c r="G14" s="53">
        <f>(H69+E71)*1000</f>
        <v>10875.55194117647</v>
      </c>
      <c r="H14" s="32"/>
      <c r="I14" s="32">
        <v>3.275</v>
      </c>
      <c r="J14" s="32">
        <v>0.825</v>
      </c>
      <c r="K14" s="8"/>
    </row>
    <row r="15" spans="1:11" ht="9.75" customHeight="1">
      <c r="A15" s="44"/>
      <c r="B15" s="45"/>
      <c r="C15" s="32" t="s">
        <v>0</v>
      </c>
      <c r="D15" s="54"/>
      <c r="E15" s="55"/>
      <c r="F15" s="54"/>
      <c r="G15" s="56"/>
      <c r="H15" s="32"/>
      <c r="I15" s="32"/>
      <c r="J15" s="32"/>
      <c r="K15" s="8"/>
    </row>
    <row r="16" spans="1:11" ht="14.25" thickBot="1">
      <c r="A16" s="44"/>
      <c r="B16" s="57"/>
      <c r="C16" s="58" t="s">
        <v>19</v>
      </c>
      <c r="D16" s="59"/>
      <c r="E16" s="60"/>
      <c r="F16" s="59"/>
      <c r="G16" s="61"/>
      <c r="H16" s="32"/>
      <c r="I16" s="32"/>
      <c r="J16" s="32"/>
      <c r="K16" s="8"/>
    </row>
    <row r="17" spans="1:11" ht="12" customHeight="1">
      <c r="A17" s="62">
        <v>120</v>
      </c>
      <c r="B17" s="115">
        <v>1</v>
      </c>
      <c r="C17" s="64" t="s">
        <v>86</v>
      </c>
      <c r="D17" s="65">
        <f aca="true" t="shared" si="0" ref="D17:D33">B17*A17</f>
        <v>120</v>
      </c>
      <c r="E17" s="66">
        <f>D17-F17</f>
        <v>58.536585365853654</v>
      </c>
      <c r="F17" s="65">
        <f>(I17-H17)/(I17+J17)*D17</f>
        <v>61.463414634146346</v>
      </c>
      <c r="G17" s="67" t="s">
        <v>20</v>
      </c>
      <c r="H17" s="62">
        <v>1.175</v>
      </c>
      <c r="I17" s="62">
        <f>I14</f>
        <v>3.275</v>
      </c>
      <c r="J17" s="62">
        <f>J14</f>
        <v>0.825</v>
      </c>
      <c r="K17" s="8"/>
    </row>
    <row r="18" spans="1:11" ht="12" customHeight="1">
      <c r="A18" s="62">
        <v>120</v>
      </c>
      <c r="B18" s="115">
        <v>0</v>
      </c>
      <c r="C18" s="64" t="s">
        <v>87</v>
      </c>
      <c r="D18" s="65">
        <f t="shared" si="0"/>
        <v>0</v>
      </c>
      <c r="E18" s="68" t="s">
        <v>20</v>
      </c>
      <c r="F18" s="69" t="s">
        <v>20</v>
      </c>
      <c r="G18" s="70">
        <f>D18</f>
        <v>0</v>
      </c>
      <c r="H18" s="62"/>
      <c r="I18" s="62">
        <f aca="true" t="shared" si="1" ref="I18:J23">I17</f>
        <v>3.275</v>
      </c>
      <c r="J18" s="62">
        <f t="shared" si="1"/>
        <v>0.825</v>
      </c>
      <c r="K18" s="8"/>
    </row>
    <row r="19" spans="1:11" ht="12" customHeight="1">
      <c r="A19" s="62">
        <v>580</v>
      </c>
      <c r="B19" s="115">
        <v>0</v>
      </c>
      <c r="C19" s="71" t="s">
        <v>88</v>
      </c>
      <c r="D19" s="65">
        <f t="shared" si="0"/>
        <v>0</v>
      </c>
      <c r="E19" s="68" t="s">
        <v>20</v>
      </c>
      <c r="F19" s="69" t="s">
        <v>20</v>
      </c>
      <c r="G19" s="70">
        <f>D19</f>
        <v>0</v>
      </c>
      <c r="H19" s="62"/>
      <c r="I19" s="62">
        <f t="shared" si="1"/>
        <v>3.275</v>
      </c>
      <c r="J19" s="62">
        <f t="shared" si="1"/>
        <v>0.825</v>
      </c>
      <c r="K19" s="8"/>
    </row>
    <row r="20" spans="1:11" ht="12" customHeight="1">
      <c r="A20" s="62">
        <v>330</v>
      </c>
      <c r="B20" s="115">
        <v>0</v>
      </c>
      <c r="C20" s="71" t="s">
        <v>21</v>
      </c>
      <c r="D20" s="65">
        <f t="shared" si="0"/>
        <v>0</v>
      </c>
      <c r="E20" s="66">
        <f>D20-F20</f>
        <v>0</v>
      </c>
      <c r="F20" s="65">
        <f>(I20-H20)/(I20+J20)*D20</f>
        <v>0</v>
      </c>
      <c r="G20" s="67" t="s">
        <v>20</v>
      </c>
      <c r="H20" s="62">
        <v>2.4162</v>
      </c>
      <c r="I20" s="62">
        <f t="shared" si="1"/>
        <v>3.275</v>
      </c>
      <c r="J20" s="62">
        <f t="shared" si="1"/>
        <v>0.825</v>
      </c>
      <c r="K20" s="8"/>
    </row>
    <row r="21" spans="1:11" ht="12" customHeight="1">
      <c r="A21" s="62">
        <v>1180</v>
      </c>
      <c r="B21" s="115">
        <v>1</v>
      </c>
      <c r="C21" s="64" t="s">
        <v>22</v>
      </c>
      <c r="D21" s="65">
        <f t="shared" si="0"/>
        <v>1180</v>
      </c>
      <c r="E21" s="66">
        <f>D21-F21</f>
        <v>1218.5658536585365</v>
      </c>
      <c r="F21" s="65">
        <f>(I21-H21)/(I21+J21)*D21</f>
        <v>-38.56585365853656</v>
      </c>
      <c r="G21" s="67" t="s">
        <v>20</v>
      </c>
      <c r="H21" s="62">
        <v>3.409</v>
      </c>
      <c r="I21" s="62">
        <f t="shared" si="1"/>
        <v>3.275</v>
      </c>
      <c r="J21" s="62">
        <f t="shared" si="1"/>
        <v>0.825</v>
      </c>
      <c r="K21" s="8"/>
    </row>
    <row r="22" spans="1:11" ht="12" customHeight="1">
      <c r="A22" s="62">
        <v>170</v>
      </c>
      <c r="B22" s="115">
        <v>1</v>
      </c>
      <c r="C22" s="64" t="s">
        <v>82</v>
      </c>
      <c r="D22" s="65">
        <f t="shared" si="0"/>
        <v>170</v>
      </c>
      <c r="E22" s="66">
        <f>(D22-G22)*(E73+J22)/(I22+J22)</f>
        <v>-14.55792682926829</v>
      </c>
      <c r="F22" s="65">
        <f>D22-E22-G22</f>
        <v>-4.5420731707316975</v>
      </c>
      <c r="G22" s="67">
        <f>(H22+E73)/E72*D22</f>
        <v>189.1</v>
      </c>
      <c r="H22" s="62">
        <v>7.155</v>
      </c>
      <c r="I22" s="62">
        <f t="shared" si="1"/>
        <v>3.275</v>
      </c>
      <c r="J22" s="62">
        <f t="shared" si="1"/>
        <v>0.825</v>
      </c>
      <c r="K22" s="8"/>
    </row>
    <row r="23" spans="1:11" ht="12" customHeight="1">
      <c r="A23" s="62">
        <v>85</v>
      </c>
      <c r="B23" s="115">
        <v>1</v>
      </c>
      <c r="C23" s="72" t="s">
        <v>23</v>
      </c>
      <c r="D23" s="65">
        <f t="shared" si="0"/>
        <v>85</v>
      </c>
      <c r="E23" s="66">
        <f>(D23-G23)*(E73+J23)/(I23+J23)</f>
        <v>19.69512195121951</v>
      </c>
      <c r="F23" s="65">
        <f>D23-E23-G23</f>
        <v>6.144878048780491</v>
      </c>
      <c r="G23" s="67">
        <f>(H23+E73)/E72*D23</f>
        <v>59.160000000000004</v>
      </c>
      <c r="H23" s="62">
        <v>3.616</v>
      </c>
      <c r="I23" s="62">
        <f t="shared" si="1"/>
        <v>3.275</v>
      </c>
      <c r="J23" s="62">
        <f t="shared" si="1"/>
        <v>0.825</v>
      </c>
      <c r="K23" s="8"/>
    </row>
    <row r="24" spans="1:11" ht="12" customHeight="1">
      <c r="A24" s="62">
        <v>1300</v>
      </c>
      <c r="B24" s="115">
        <v>0</v>
      </c>
      <c r="C24" s="71" t="s">
        <v>92</v>
      </c>
      <c r="D24" s="65">
        <f t="shared" si="0"/>
        <v>0</v>
      </c>
      <c r="E24" s="66">
        <f>(D24-G24)*(E73+J24)/(I24+J24)</f>
        <v>0</v>
      </c>
      <c r="F24" s="65">
        <f>D24-E24-G24</f>
        <v>0</v>
      </c>
      <c r="G24" s="67">
        <f>(H24+E73)/E72*D24</f>
        <v>0</v>
      </c>
      <c r="H24" s="62">
        <v>4.287</v>
      </c>
      <c r="I24" s="62">
        <f aca="true" t="shared" si="2" ref="I24:J26">I23</f>
        <v>3.275</v>
      </c>
      <c r="J24" s="62">
        <f t="shared" si="2"/>
        <v>0.825</v>
      </c>
      <c r="K24" s="8"/>
    </row>
    <row r="25" spans="1:11" ht="12" customHeight="1">
      <c r="A25" s="62">
        <v>1330</v>
      </c>
      <c r="B25" s="115">
        <v>1</v>
      </c>
      <c r="C25" s="71" t="s">
        <v>91</v>
      </c>
      <c r="D25" s="65">
        <f>B25*A25</f>
        <v>1330</v>
      </c>
      <c r="E25" s="66">
        <f>(D25-G25)*(E73+J25)/(I25+J25)</f>
        <v>218.48637015781912</v>
      </c>
      <c r="F25" s="65">
        <f>D25-E25-G25</f>
        <v>68.16774748923945</v>
      </c>
      <c r="G25" s="67">
        <f>(H25+E73)/E72*D25</f>
        <v>1043.3458823529413</v>
      </c>
      <c r="H25" s="62">
        <v>4.368</v>
      </c>
      <c r="I25" s="62">
        <f t="shared" si="2"/>
        <v>3.275</v>
      </c>
      <c r="J25" s="62">
        <f t="shared" si="2"/>
        <v>0.825</v>
      </c>
      <c r="K25" s="8"/>
    </row>
    <row r="26" spans="1:11" ht="12" customHeight="1">
      <c r="A26" s="62">
        <v>40</v>
      </c>
      <c r="B26" s="115">
        <v>1</v>
      </c>
      <c r="C26" s="71" t="s">
        <v>24</v>
      </c>
      <c r="D26" s="65">
        <f t="shared" si="0"/>
        <v>40</v>
      </c>
      <c r="E26" s="66">
        <f>D26-F26</f>
        <v>32.4390243902439</v>
      </c>
      <c r="F26" s="65">
        <f>(I26-H26)/(I26+J26)*D26</f>
        <v>7.560975609756097</v>
      </c>
      <c r="G26" s="67" t="s">
        <v>20</v>
      </c>
      <c r="H26" s="62">
        <v>2.5</v>
      </c>
      <c r="I26" s="62">
        <f t="shared" si="2"/>
        <v>3.275</v>
      </c>
      <c r="J26" s="62">
        <f t="shared" si="2"/>
        <v>0.825</v>
      </c>
      <c r="K26" s="8"/>
    </row>
    <row r="27" spans="1:11" ht="12" customHeight="1">
      <c r="A27" s="62">
        <v>480</v>
      </c>
      <c r="B27" s="115">
        <v>1</v>
      </c>
      <c r="C27" s="64" t="s">
        <v>25</v>
      </c>
      <c r="D27" s="65">
        <f t="shared" si="0"/>
        <v>480</v>
      </c>
      <c r="E27" s="66">
        <f>D27-F27</f>
        <v>240</v>
      </c>
      <c r="F27" s="65">
        <f>(I27-H27)/(I27+J27)*D27</f>
        <v>240</v>
      </c>
      <c r="G27" s="67" t="s">
        <v>20</v>
      </c>
      <c r="H27" s="62">
        <v>1.225</v>
      </c>
      <c r="I27" s="62">
        <f aca="true" t="shared" si="3" ref="I27:J32">I26</f>
        <v>3.275</v>
      </c>
      <c r="J27" s="62">
        <f t="shared" si="3"/>
        <v>0.825</v>
      </c>
      <c r="K27" s="8"/>
    </row>
    <row r="28" spans="1:11" ht="12" customHeight="1">
      <c r="A28" s="62">
        <v>816</v>
      </c>
      <c r="B28" s="115">
        <v>0</v>
      </c>
      <c r="C28" s="64" t="s">
        <v>26</v>
      </c>
      <c r="D28" s="65">
        <f t="shared" si="0"/>
        <v>0</v>
      </c>
      <c r="E28" s="66">
        <f>D28-F28</f>
        <v>0</v>
      </c>
      <c r="F28" s="65">
        <f>(I28-H28)/(I28+J28)*D28</f>
        <v>0</v>
      </c>
      <c r="G28" s="67" t="s">
        <v>20</v>
      </c>
      <c r="H28" s="62">
        <v>1.225</v>
      </c>
      <c r="I28" s="62">
        <f t="shared" si="3"/>
        <v>3.275</v>
      </c>
      <c r="J28" s="62">
        <f t="shared" si="3"/>
        <v>0.825</v>
      </c>
      <c r="K28" s="8"/>
    </row>
    <row r="29" spans="1:11" ht="12" customHeight="1">
      <c r="A29" s="62">
        <v>50</v>
      </c>
      <c r="B29" s="115">
        <v>0</v>
      </c>
      <c r="C29" s="64" t="s">
        <v>95</v>
      </c>
      <c r="D29" s="65">
        <f>B29*A29</f>
        <v>0</v>
      </c>
      <c r="E29" s="66">
        <f>D29-F29</f>
        <v>0</v>
      </c>
      <c r="F29" s="65">
        <f>(I29-H29)/(I29+J29)*D29</f>
        <v>0</v>
      </c>
      <c r="G29" s="67" t="s">
        <v>20</v>
      </c>
      <c r="H29" s="62">
        <v>1.225</v>
      </c>
      <c r="I29" s="62">
        <f>I28</f>
        <v>3.275</v>
      </c>
      <c r="J29" s="62">
        <f>J28</f>
        <v>0.825</v>
      </c>
      <c r="K29" s="8"/>
    </row>
    <row r="30" spans="1:11" ht="12" customHeight="1">
      <c r="A30" s="62">
        <v>240</v>
      </c>
      <c r="B30" s="115">
        <v>0</v>
      </c>
      <c r="C30" s="64" t="s">
        <v>27</v>
      </c>
      <c r="D30" s="65">
        <f t="shared" si="0"/>
        <v>0</v>
      </c>
      <c r="E30" s="68" t="s">
        <v>20</v>
      </c>
      <c r="F30" s="69" t="s">
        <v>20</v>
      </c>
      <c r="G30" s="70">
        <f>D30</f>
        <v>0</v>
      </c>
      <c r="H30" s="62"/>
      <c r="I30" s="62">
        <f>I28</f>
        <v>3.275</v>
      </c>
      <c r="J30" s="62">
        <f>J28</f>
        <v>0.825</v>
      </c>
      <c r="K30" s="8"/>
    </row>
    <row r="31" spans="1:11" ht="12" customHeight="1">
      <c r="A31" s="62">
        <v>300</v>
      </c>
      <c r="B31" s="115">
        <v>0</v>
      </c>
      <c r="C31" s="64" t="s">
        <v>28</v>
      </c>
      <c r="D31" s="65">
        <f t="shared" si="0"/>
        <v>0</v>
      </c>
      <c r="E31" s="68" t="s">
        <v>20</v>
      </c>
      <c r="F31" s="69" t="s">
        <v>20</v>
      </c>
      <c r="G31" s="70">
        <f>D31</f>
        <v>0</v>
      </c>
      <c r="H31" s="62"/>
      <c r="I31" s="62">
        <f t="shared" si="3"/>
        <v>3.275</v>
      </c>
      <c r="J31" s="62">
        <f t="shared" si="3"/>
        <v>0.825</v>
      </c>
      <c r="K31" s="8"/>
    </row>
    <row r="32" spans="1:11" ht="12" customHeight="1">
      <c r="A32" s="62">
        <v>342</v>
      </c>
      <c r="B32" s="115">
        <v>0</v>
      </c>
      <c r="C32" s="64" t="s">
        <v>29</v>
      </c>
      <c r="D32" s="65">
        <f t="shared" si="0"/>
        <v>0</v>
      </c>
      <c r="E32" s="68" t="s">
        <v>20</v>
      </c>
      <c r="F32" s="69" t="s">
        <v>20</v>
      </c>
      <c r="G32" s="70">
        <f>D32</f>
        <v>0</v>
      </c>
      <c r="H32" s="62"/>
      <c r="I32" s="62">
        <f t="shared" si="3"/>
        <v>3.275</v>
      </c>
      <c r="J32" s="62">
        <f t="shared" si="3"/>
        <v>0.825</v>
      </c>
      <c r="K32" s="8"/>
    </row>
    <row r="33" spans="1:11" ht="12" customHeight="1">
      <c r="A33" s="62">
        <v>610</v>
      </c>
      <c r="B33" s="115">
        <v>0</v>
      </c>
      <c r="C33" s="72" t="s">
        <v>78</v>
      </c>
      <c r="D33" s="65">
        <f t="shared" si="0"/>
        <v>0</v>
      </c>
      <c r="E33" s="66">
        <f>D33-F33</f>
        <v>0</v>
      </c>
      <c r="F33" s="65">
        <f>(I33-H33)/(I33+J33)*D33</f>
        <v>0</v>
      </c>
      <c r="G33" s="73" t="s">
        <v>20</v>
      </c>
      <c r="H33" s="62">
        <v>3.485</v>
      </c>
      <c r="I33" s="62">
        <f>I31</f>
        <v>3.275</v>
      </c>
      <c r="J33" s="62">
        <f>J31</f>
        <v>0.825</v>
      </c>
      <c r="K33" s="8"/>
    </row>
    <row r="34" spans="1:11" ht="12" customHeight="1">
      <c r="A34" s="62">
        <v>3500</v>
      </c>
      <c r="B34" s="63">
        <v>1</v>
      </c>
      <c r="C34" s="72" t="s">
        <v>89</v>
      </c>
      <c r="D34" s="65">
        <f>B34*A34</f>
        <v>3500</v>
      </c>
      <c r="E34" s="66">
        <f>D34-F34</f>
        <v>3482.9268292682927</v>
      </c>
      <c r="F34" s="65">
        <f>(I34-H34)/(I34+J34)*D34</f>
        <v>17.073170731707332</v>
      </c>
      <c r="G34" s="73" t="s">
        <v>20</v>
      </c>
      <c r="H34" s="62">
        <v>3.255</v>
      </c>
      <c r="I34" s="62">
        <f>I32</f>
        <v>3.275</v>
      </c>
      <c r="J34" s="62">
        <f>J32</f>
        <v>0.825</v>
      </c>
      <c r="K34" s="8"/>
    </row>
    <row r="35" spans="1:11" ht="12" customHeight="1">
      <c r="A35" s="62"/>
      <c r="B35" s="115">
        <v>0</v>
      </c>
      <c r="C35" s="72" t="s">
        <v>83</v>
      </c>
      <c r="D35" s="65">
        <f>B35*1000</f>
        <v>0</v>
      </c>
      <c r="E35" s="66">
        <f>D35-F35</f>
        <v>0</v>
      </c>
      <c r="F35" s="65">
        <f>(I35-H35)/(I35+J35)*D35</f>
        <v>0</v>
      </c>
      <c r="G35" s="73" t="s">
        <v>20</v>
      </c>
      <c r="H35" s="62">
        <v>3.255</v>
      </c>
      <c r="I35" s="62">
        <f>I32</f>
        <v>3.275</v>
      </c>
      <c r="J35" s="62">
        <f>J32</f>
        <v>0.825</v>
      </c>
      <c r="K35" s="8"/>
    </row>
    <row r="36" spans="1:11" ht="12" customHeight="1">
      <c r="A36" s="62">
        <v>-930</v>
      </c>
      <c r="B36" s="115">
        <v>0</v>
      </c>
      <c r="C36" s="64" t="s">
        <v>30</v>
      </c>
      <c r="D36" s="65">
        <f>B36*A36</f>
        <v>0</v>
      </c>
      <c r="E36" s="66">
        <f>D36-F36</f>
        <v>0</v>
      </c>
      <c r="F36" s="65">
        <f>(I36-H36)/(I36+J36)*D36</f>
        <v>0</v>
      </c>
      <c r="G36" s="67" t="s">
        <v>20</v>
      </c>
      <c r="H36" s="62">
        <v>5.35</v>
      </c>
      <c r="I36" s="62">
        <f>I35</f>
        <v>3.275</v>
      </c>
      <c r="J36" s="62">
        <f>J35</f>
        <v>0.825</v>
      </c>
      <c r="K36" s="8"/>
    </row>
    <row r="37" spans="1:11" ht="12" customHeight="1">
      <c r="A37" s="62">
        <v>-1200</v>
      </c>
      <c r="B37" s="115">
        <v>0</v>
      </c>
      <c r="C37" s="64" t="s">
        <v>31</v>
      </c>
      <c r="D37" s="65">
        <f>B37*A37</f>
        <v>0</v>
      </c>
      <c r="E37" s="66">
        <f>D37-F37</f>
        <v>0</v>
      </c>
      <c r="F37" s="65">
        <f>(I37-H37)/(I37+J37)*D37</f>
        <v>0</v>
      </c>
      <c r="G37" s="67" t="s">
        <v>20</v>
      </c>
      <c r="H37" s="62">
        <v>-3</v>
      </c>
      <c r="I37" s="62">
        <f>I36</f>
        <v>3.275</v>
      </c>
      <c r="J37" s="62">
        <f>J36</f>
        <v>0.825</v>
      </c>
      <c r="K37" s="8"/>
    </row>
    <row r="38" spans="1:11" ht="12" customHeight="1">
      <c r="A38" s="62"/>
      <c r="B38" s="115">
        <v>3.7</v>
      </c>
      <c r="C38" s="64" t="s">
        <v>32</v>
      </c>
      <c r="D38" s="74">
        <v>0</v>
      </c>
      <c r="E38" s="68">
        <f>G38*(J38+E73)/(I38+J38)*(-1)</f>
        <v>-2534.226282281206</v>
      </c>
      <c r="F38" s="69">
        <f>(G38+E38)*(-1)</f>
        <v>-790.6786000717357</v>
      </c>
      <c r="G38" s="70">
        <f>E70*B38*0.6671/E72*1000</f>
        <v>3324.9048823529415</v>
      </c>
      <c r="H38" s="62"/>
      <c r="I38" s="62">
        <f>I36</f>
        <v>3.275</v>
      </c>
      <c r="J38" s="62">
        <f>J36</f>
        <v>0.825</v>
      </c>
      <c r="K38" s="8"/>
    </row>
    <row r="39" spans="1:11" ht="12" customHeight="1">
      <c r="A39" s="62"/>
      <c r="B39" s="63"/>
      <c r="C39" s="75" t="s">
        <v>33</v>
      </c>
      <c r="D39" s="74"/>
      <c r="E39" s="66"/>
      <c r="F39" s="65"/>
      <c r="G39" s="70"/>
      <c r="H39" s="62"/>
      <c r="I39" s="62">
        <f aca="true" t="shared" si="4" ref="I39:J41">I38</f>
        <v>3.275</v>
      </c>
      <c r="J39" s="62">
        <f t="shared" si="4"/>
        <v>0.825</v>
      </c>
      <c r="K39" s="8"/>
    </row>
    <row r="40" spans="1:11" ht="12" customHeight="1">
      <c r="A40" s="62">
        <v>1.485</v>
      </c>
      <c r="B40" s="115">
        <v>15</v>
      </c>
      <c r="C40" s="71" t="s">
        <v>79</v>
      </c>
      <c r="D40" s="74">
        <v>0</v>
      </c>
      <c r="E40" s="66">
        <f>(E72-E73-J40)*G40/(I40+J40)</f>
        <v>-3435.5272596843615</v>
      </c>
      <c r="F40" s="65">
        <f>(E40+G40)*(-1)</f>
        <v>6056.11549497848</v>
      </c>
      <c r="G40" s="70">
        <f>A40/E72*B40*1000*(-1)</f>
        <v>-2620.5882352941176</v>
      </c>
      <c r="H40" s="62"/>
      <c r="I40" s="62">
        <f t="shared" si="4"/>
        <v>3.275</v>
      </c>
      <c r="J40" s="62">
        <f t="shared" si="4"/>
        <v>0.825</v>
      </c>
      <c r="K40" s="8"/>
    </row>
    <row r="41" spans="1:11" ht="12" customHeight="1">
      <c r="A41" s="62">
        <v>1.485</v>
      </c>
      <c r="B41" s="115">
        <v>0</v>
      </c>
      <c r="C41" s="71" t="s">
        <v>80</v>
      </c>
      <c r="D41" s="74">
        <v>0</v>
      </c>
      <c r="E41" s="66">
        <f>(E72-E73-J41)*G41/(I41+J41)</f>
        <v>0</v>
      </c>
      <c r="F41" s="65">
        <f>(E41+G41)*(-1)</f>
        <v>0</v>
      </c>
      <c r="G41" s="70">
        <f>A41/E72*B41*1000</f>
        <v>0</v>
      </c>
      <c r="H41" s="62"/>
      <c r="I41" s="62">
        <f t="shared" si="4"/>
        <v>3.275</v>
      </c>
      <c r="J41" s="62">
        <f t="shared" si="4"/>
        <v>0.825</v>
      </c>
      <c r="K41" s="8"/>
    </row>
    <row r="42" spans="1:11" ht="12" customHeight="1">
      <c r="A42" s="62"/>
      <c r="B42" s="63"/>
      <c r="C42" s="71" t="s">
        <v>34</v>
      </c>
      <c r="D42" s="74"/>
      <c r="E42" s="66"/>
      <c r="F42" s="65"/>
      <c r="G42" s="70"/>
      <c r="H42" s="62"/>
      <c r="I42" s="62"/>
      <c r="J42" s="62"/>
      <c r="K42" s="8"/>
    </row>
    <row r="43" spans="1:11" ht="12" customHeight="1" thickBot="1">
      <c r="A43" s="62"/>
      <c r="B43" s="76"/>
      <c r="C43" s="77" t="s">
        <v>35</v>
      </c>
      <c r="D43" s="78"/>
      <c r="E43" s="79"/>
      <c r="F43" s="78"/>
      <c r="G43" s="80"/>
      <c r="H43" s="62"/>
      <c r="I43" s="62"/>
      <c r="J43" s="62"/>
      <c r="K43" s="8"/>
    </row>
    <row r="44" spans="1:11" ht="12" customHeight="1">
      <c r="A44" s="32"/>
      <c r="B44" s="9"/>
      <c r="C44" s="7" t="s">
        <v>0</v>
      </c>
      <c r="D44" s="81"/>
      <c r="E44" s="7"/>
      <c r="F44" s="81"/>
      <c r="G44" s="20"/>
      <c r="H44" s="7"/>
      <c r="I44" s="7"/>
      <c r="J44" s="7"/>
      <c r="K44" s="8"/>
    </row>
    <row r="45" spans="1:11" ht="12.75">
      <c r="A45" s="32"/>
      <c r="B45" s="9"/>
      <c r="C45" s="50" t="s">
        <v>36</v>
      </c>
      <c r="D45" s="82">
        <f>SUM(D14:D42)</f>
        <v>48047</v>
      </c>
      <c r="E45" s="83">
        <f>SUM(E14:E42)</f>
        <v>17569.984702295555</v>
      </c>
      <c r="F45" s="82">
        <f>SUM(F14:F42)</f>
        <v>17605.540827116216</v>
      </c>
      <c r="G45" s="84">
        <f>SUM(G14:G42)</f>
        <v>12871.474470588237</v>
      </c>
      <c r="H45" s="7"/>
      <c r="I45" s="7"/>
      <c r="J45" s="7"/>
      <c r="K45" s="8"/>
    </row>
    <row r="46" spans="1:11" ht="14.25" thickBot="1">
      <c r="A46" s="32"/>
      <c r="B46" s="9"/>
      <c r="C46" s="85" t="s">
        <v>37</v>
      </c>
      <c r="D46" s="86">
        <f>D45*2.2045855</f>
        <v>105923.71951849999</v>
      </c>
      <c r="E46" s="86">
        <f>E45*2.2045855</f>
        <v>38734.53350990259</v>
      </c>
      <c r="F46" s="86">
        <f>F45*2.2045855</f>
        <v>38812.920027118416</v>
      </c>
      <c r="G46" s="86">
        <f>G45*2.2045855</f>
        <v>28376.265981479002</v>
      </c>
      <c r="H46" s="7"/>
      <c r="I46" s="7"/>
      <c r="J46" s="7"/>
      <c r="K46" s="8"/>
    </row>
    <row r="47" spans="1:11" ht="12.75">
      <c r="A47" s="32"/>
      <c r="B47" s="87"/>
      <c r="C47" s="88" t="s">
        <v>38</v>
      </c>
      <c r="D47" s="89">
        <f>E45/2000</f>
        <v>8.784992351147777</v>
      </c>
      <c r="E47" s="90">
        <f aca="true" t="shared" si="5" ref="E47:E52">D47*2204.5855</f>
        <v>19367.2667549513</v>
      </c>
      <c r="F47" s="91" t="s">
        <v>39</v>
      </c>
      <c r="G47" s="92"/>
      <c r="H47" s="7"/>
      <c r="I47" s="7"/>
      <c r="J47" s="7"/>
      <c r="K47" s="8"/>
    </row>
    <row r="48" spans="1:11" ht="12.75">
      <c r="A48" s="32"/>
      <c r="B48" s="9"/>
      <c r="C48" s="93" t="s">
        <v>40</v>
      </c>
      <c r="D48" s="94">
        <f>E45/2000</f>
        <v>8.784992351147777</v>
      </c>
      <c r="E48" s="95">
        <f t="shared" si="5"/>
        <v>19367.2667549513</v>
      </c>
      <c r="F48" s="96" t="s">
        <v>41</v>
      </c>
      <c r="G48" s="97">
        <v>1.65</v>
      </c>
      <c r="H48" s="7"/>
      <c r="I48" s="7"/>
      <c r="J48" s="7"/>
      <c r="K48" s="8"/>
    </row>
    <row r="49" spans="1:11" ht="12.75">
      <c r="A49" s="32"/>
      <c r="B49" s="9"/>
      <c r="C49" s="93" t="s">
        <v>42</v>
      </c>
      <c r="D49" s="94">
        <f>F45/2000</f>
        <v>8.802770413558108</v>
      </c>
      <c r="E49" s="95">
        <f t="shared" si="5"/>
        <v>19406.460013559208</v>
      </c>
      <c r="F49" s="96" t="s">
        <v>43</v>
      </c>
      <c r="G49" s="97">
        <v>2.45</v>
      </c>
      <c r="H49" s="7"/>
      <c r="I49" s="7"/>
      <c r="J49" s="7"/>
      <c r="K49" s="8"/>
    </row>
    <row r="50" spans="1:11" ht="12.75">
      <c r="A50" s="32"/>
      <c r="B50" s="9"/>
      <c r="C50" s="93" t="s">
        <v>44</v>
      </c>
      <c r="D50" s="94">
        <f>F45/2000</f>
        <v>8.802770413558108</v>
      </c>
      <c r="E50" s="95">
        <f t="shared" si="5"/>
        <v>19406.460013559208</v>
      </c>
      <c r="F50" s="96" t="s">
        <v>45</v>
      </c>
      <c r="G50" s="97">
        <v>1.65</v>
      </c>
      <c r="H50" s="7"/>
      <c r="I50" s="7"/>
      <c r="J50" s="7"/>
      <c r="K50" s="8"/>
    </row>
    <row r="51" spans="1:11" ht="12.75">
      <c r="A51" s="32"/>
      <c r="B51" s="9"/>
      <c r="C51" s="93" t="s">
        <v>46</v>
      </c>
      <c r="D51" s="94">
        <f>G45/2000</f>
        <v>6.435737235294118</v>
      </c>
      <c r="E51" s="95">
        <f t="shared" si="5"/>
        <v>14188.132990739501</v>
      </c>
      <c r="F51" s="96" t="s">
        <v>47</v>
      </c>
      <c r="G51" s="97">
        <f>E72-E73-1.5-(G52/2)</f>
        <v>4.04</v>
      </c>
      <c r="H51" s="7"/>
      <c r="I51" s="7"/>
      <c r="J51" s="7"/>
      <c r="K51" s="8"/>
    </row>
    <row r="52" spans="1:11" ht="12.75">
      <c r="A52" s="32"/>
      <c r="B52" s="9"/>
      <c r="C52" s="93" t="s">
        <v>48</v>
      </c>
      <c r="D52" s="94">
        <f>G45/2000</f>
        <v>6.435737235294118</v>
      </c>
      <c r="E52" s="95">
        <f t="shared" si="5"/>
        <v>14188.132990739501</v>
      </c>
      <c r="F52" s="96" t="s">
        <v>49</v>
      </c>
      <c r="G52" s="119">
        <v>1.32</v>
      </c>
      <c r="H52" s="7"/>
      <c r="I52" s="7"/>
      <c r="J52" s="7"/>
      <c r="K52" s="8"/>
    </row>
    <row r="53" spans="1:11" ht="12.75">
      <c r="A53" s="32"/>
      <c r="B53" s="9"/>
      <c r="C53" s="93"/>
      <c r="D53" s="94"/>
      <c r="E53" s="7"/>
      <c r="F53" s="96"/>
      <c r="G53" s="97"/>
      <c r="H53" s="7"/>
      <c r="I53" s="7"/>
      <c r="J53" s="7"/>
      <c r="K53" s="8"/>
    </row>
    <row r="54" spans="1:11" ht="13.5" thickBot="1">
      <c r="A54" s="32"/>
      <c r="B54" s="15"/>
      <c r="C54" s="98"/>
      <c r="D54" s="99"/>
      <c r="E54" s="16"/>
      <c r="F54" s="100"/>
      <c r="G54" s="101"/>
      <c r="H54" s="7"/>
      <c r="I54" s="7"/>
      <c r="J54" s="7"/>
      <c r="K54" s="8"/>
    </row>
    <row r="55" spans="1:11" ht="12.75">
      <c r="A55" s="44"/>
      <c r="B55" s="7"/>
      <c r="C55" s="7" t="s">
        <v>0</v>
      </c>
      <c r="D55" s="7"/>
      <c r="E55" s="7"/>
      <c r="F55" s="7"/>
      <c r="G55" s="7"/>
      <c r="H55" s="7"/>
      <c r="I55" s="7"/>
      <c r="J55" s="7"/>
      <c r="K55" s="8"/>
    </row>
    <row r="56" spans="1:11" ht="12.75">
      <c r="A56" s="44"/>
      <c r="B56" s="7"/>
      <c r="C56" s="7"/>
      <c r="D56" s="7"/>
      <c r="E56" s="7"/>
      <c r="F56" s="7" t="s">
        <v>50</v>
      </c>
      <c r="G56" s="7"/>
      <c r="H56" s="7"/>
      <c r="I56" s="7"/>
      <c r="J56" s="7"/>
      <c r="K56" s="8"/>
    </row>
    <row r="57" spans="1:11" ht="12.75">
      <c r="A57" s="44"/>
      <c r="B57" s="7"/>
      <c r="C57" s="7" t="s">
        <v>51</v>
      </c>
      <c r="D57" s="7"/>
      <c r="E57" s="7"/>
      <c r="F57" s="7" t="s">
        <v>52</v>
      </c>
      <c r="G57" s="7" t="s">
        <v>53</v>
      </c>
      <c r="H57" s="7"/>
      <c r="I57" s="7"/>
      <c r="J57" s="7"/>
      <c r="K57" s="8"/>
    </row>
    <row r="58" spans="1:11" ht="12.75">
      <c r="A58" s="44"/>
      <c r="B58" s="7"/>
      <c r="C58" s="102" t="s">
        <v>54</v>
      </c>
      <c r="D58" s="103">
        <f>D47+D48</f>
        <v>17.569984702295553</v>
      </c>
      <c r="E58" s="7">
        <f aca="true" t="shared" si="6" ref="E58:E66">IF(D58&gt;F58,"----------&gt;&gt;","")</f>
      </c>
      <c r="F58" s="103">
        <f>G48*3+15+(E75-2.5)*10</f>
        <v>20.449999999999996</v>
      </c>
      <c r="G58" s="103">
        <f>G48*3+18</f>
        <v>22.95</v>
      </c>
      <c r="H58" s="7">
        <f aca="true" t="shared" si="7" ref="H58:H66">IF(D58&gt;G58,"&lt;&lt;----","")</f>
      </c>
      <c r="I58" s="7"/>
      <c r="J58" s="7"/>
      <c r="K58" s="8"/>
    </row>
    <row r="59" spans="1:11" ht="12.75">
      <c r="A59" s="44"/>
      <c r="B59" s="7"/>
      <c r="C59" s="102" t="s">
        <v>55</v>
      </c>
      <c r="D59" s="103">
        <f>SUM(D47:D49)</f>
        <v>26.37275511585366</v>
      </c>
      <c r="E59" s="7">
        <f t="shared" si="6"/>
      </c>
      <c r="F59" s="103">
        <f>(SUM(G48:G49))*3+15+(E75-2.5)*10</f>
        <v>27.799999999999997</v>
      </c>
      <c r="G59" s="103">
        <f>SUM(G48:G49)*3+18</f>
        <v>30.299999999999997</v>
      </c>
      <c r="H59" s="7">
        <f t="shared" si="7"/>
      </c>
      <c r="I59" s="7"/>
      <c r="J59" s="7"/>
      <c r="K59" s="8"/>
    </row>
    <row r="60" spans="1:11" ht="12.75">
      <c r="A60" s="44"/>
      <c r="B60" s="7"/>
      <c r="C60" s="102" t="s">
        <v>56</v>
      </c>
      <c r="D60" s="103">
        <f>SUM(D47:D50)</f>
        <v>35.17552552941177</v>
      </c>
      <c r="E60" s="7" t="str">
        <f t="shared" si="6"/>
        <v>----------&gt;&gt;</v>
      </c>
      <c r="F60" s="103">
        <f>(SUM(G48:G50))*3+15+(E75-2.5)*10</f>
        <v>32.75</v>
      </c>
      <c r="G60" s="103">
        <f>SUM(G48:G50)*3+18</f>
        <v>35.25</v>
      </c>
      <c r="H60" s="7">
        <f t="shared" si="7"/>
      </c>
      <c r="I60" s="7"/>
      <c r="J60" s="7"/>
      <c r="K60" s="8"/>
    </row>
    <row r="61" spans="1:11" ht="12.75">
      <c r="A61" s="44"/>
      <c r="B61" s="7"/>
      <c r="C61" s="102" t="s">
        <v>57</v>
      </c>
      <c r="D61" s="103">
        <f>SUM(D47:D52)</f>
        <v>48.04700000000001</v>
      </c>
      <c r="E61" s="7">
        <f t="shared" si="6"/>
      </c>
      <c r="F61" s="103">
        <f>(SUM(G48:G52))*3+15+(E75-2.5)*10</f>
        <v>48.83</v>
      </c>
      <c r="G61" s="103">
        <f>SUM(G48:G52)*3+18</f>
        <v>51.33</v>
      </c>
      <c r="H61" s="7">
        <f t="shared" si="7"/>
      </c>
      <c r="I61" s="7"/>
      <c r="J61" s="7"/>
      <c r="K61" s="8"/>
    </row>
    <row r="62" spans="1:11" ht="12.75">
      <c r="A62" s="44"/>
      <c r="B62" s="7"/>
      <c r="C62" s="102" t="s">
        <v>58</v>
      </c>
      <c r="D62" s="103">
        <f>SUM(D48:D50)</f>
        <v>26.390533178263993</v>
      </c>
      <c r="E62" s="7">
        <f t="shared" si="6"/>
      </c>
      <c r="F62" s="103">
        <f>(SUM(G49:G50)*3+15+(E75-2.5)*10)</f>
        <v>27.799999999999997</v>
      </c>
      <c r="G62" s="103">
        <f>SUM(G49:G50)*3+18</f>
        <v>30.299999999999997</v>
      </c>
      <c r="H62" s="7">
        <f t="shared" si="7"/>
      </c>
      <c r="I62" s="7"/>
      <c r="J62" s="7"/>
      <c r="K62" s="8"/>
    </row>
    <row r="63" spans="1:11" ht="12.75">
      <c r="A63" s="44"/>
      <c r="B63" s="7"/>
      <c r="C63" s="102" t="s">
        <v>59</v>
      </c>
      <c r="D63" s="103">
        <f>SUM(D48:D52)</f>
        <v>39.26200764885223</v>
      </c>
      <c r="E63" s="7">
        <f t="shared" si="6"/>
      </c>
      <c r="F63" s="103">
        <f>(SUM(G49:G52))*3+15+(E75-2.5)*10</f>
        <v>43.88</v>
      </c>
      <c r="G63" s="103">
        <f>SUM(G49:G52)*3+18</f>
        <v>46.38</v>
      </c>
      <c r="H63" s="7">
        <f t="shared" si="7"/>
      </c>
      <c r="I63" s="7"/>
      <c r="J63" s="7"/>
      <c r="K63" s="8"/>
    </row>
    <row r="64" spans="1:11" ht="12.75">
      <c r="A64" s="44"/>
      <c r="B64" s="7"/>
      <c r="C64" s="102" t="s">
        <v>60</v>
      </c>
      <c r="D64" s="103">
        <f>SUM(D49:D50)</f>
        <v>17.605540827116215</v>
      </c>
      <c r="E64" s="7">
        <f t="shared" si="6"/>
      </c>
      <c r="F64" s="103">
        <f>G50*3+15+(E75-2.5)*10</f>
        <v>20.449999999999996</v>
      </c>
      <c r="G64" s="103">
        <f>G50*3+18</f>
        <v>22.95</v>
      </c>
      <c r="H64" s="7">
        <f t="shared" si="7"/>
      </c>
      <c r="I64" s="7"/>
      <c r="J64" s="7"/>
      <c r="K64" s="8"/>
    </row>
    <row r="65" spans="1:11" ht="12.75">
      <c r="A65" s="44"/>
      <c r="B65" s="7"/>
      <c r="C65" s="102" t="s">
        <v>61</v>
      </c>
      <c r="D65" s="103">
        <f>SUM(D49:D52)</f>
        <v>30.477015297704455</v>
      </c>
      <c r="E65" s="7">
        <f t="shared" si="6"/>
      </c>
      <c r="F65" s="103">
        <f>SUM(G50:G52)*3+15+(E75-2.5)*10</f>
        <v>36.53</v>
      </c>
      <c r="G65" s="103">
        <f>SUM(G50:G52)*3+18</f>
        <v>39.03</v>
      </c>
      <c r="H65" s="7">
        <f t="shared" si="7"/>
      </c>
      <c r="I65" s="7"/>
      <c r="J65" s="7"/>
      <c r="K65" s="8"/>
    </row>
    <row r="66" spans="1:11" ht="12.75">
      <c r="A66" s="44"/>
      <c r="B66" s="7"/>
      <c r="C66" s="102" t="s">
        <v>62</v>
      </c>
      <c r="D66" s="103">
        <f>SUM(D51:D52)</f>
        <v>12.871474470588236</v>
      </c>
      <c r="E66" s="7">
        <f t="shared" si="6"/>
      </c>
      <c r="F66" s="103">
        <f>(G52*3+15)+(E75-2.5)*10</f>
        <v>19.46</v>
      </c>
      <c r="G66" s="103">
        <f>G52*3+18</f>
        <v>21.96</v>
      </c>
      <c r="H66" s="7">
        <f t="shared" si="7"/>
      </c>
      <c r="I66" s="7"/>
      <c r="J66" s="7"/>
      <c r="K66" s="8"/>
    </row>
    <row r="67" spans="1:11" ht="13.5" thickBot="1">
      <c r="A67" s="44"/>
      <c r="B67" s="7"/>
      <c r="C67" s="7" t="s">
        <v>0</v>
      </c>
      <c r="D67" s="7"/>
      <c r="E67" s="7"/>
      <c r="F67" s="7"/>
      <c r="G67" s="7"/>
      <c r="H67" s="7"/>
      <c r="I67" s="7"/>
      <c r="J67" s="7"/>
      <c r="K67" s="8"/>
    </row>
    <row r="68" spans="1:11" ht="12.75">
      <c r="A68" s="44"/>
      <c r="B68" s="7"/>
      <c r="C68" s="104" t="s">
        <v>63</v>
      </c>
      <c r="D68" s="4" t="s">
        <v>64</v>
      </c>
      <c r="E68" s="105">
        <v>20.07</v>
      </c>
      <c r="F68" s="106">
        <v>1.79</v>
      </c>
      <c r="G68" s="4" t="s">
        <v>65</v>
      </c>
      <c r="H68" s="107">
        <f>E70-H69</f>
        <v>3.296448058823527</v>
      </c>
      <c r="I68" s="7"/>
      <c r="J68" s="7"/>
      <c r="K68" s="8"/>
    </row>
    <row r="69" spans="1:11" ht="12.75">
      <c r="A69" s="44"/>
      <c r="B69" s="7"/>
      <c r="C69" s="108" t="s">
        <v>81</v>
      </c>
      <c r="D69" s="7" t="s">
        <v>64</v>
      </c>
      <c r="E69" s="103">
        <v>6.9</v>
      </c>
      <c r="F69" s="109">
        <v>0.94</v>
      </c>
      <c r="G69" s="7" t="s">
        <v>66</v>
      </c>
      <c r="H69" s="110">
        <f>E70*F70/E72+(G40+G41+G38)/1000</f>
        <v>8.153551941176472</v>
      </c>
      <c r="I69" s="7"/>
      <c r="J69" s="7"/>
      <c r="K69" s="8"/>
    </row>
    <row r="70" spans="1:11" ht="12.75">
      <c r="A70" s="44"/>
      <c r="B70" s="7"/>
      <c r="C70" s="9" t="s">
        <v>67</v>
      </c>
      <c r="D70" s="7" t="s">
        <v>64</v>
      </c>
      <c r="E70" s="103">
        <v>11.45</v>
      </c>
      <c r="F70" s="109">
        <v>5.53</v>
      </c>
      <c r="G70" s="7"/>
      <c r="H70" s="20"/>
      <c r="I70" s="7"/>
      <c r="J70" s="7"/>
      <c r="K70" s="8"/>
    </row>
    <row r="71" spans="1:11" ht="12.75">
      <c r="A71" s="44"/>
      <c r="B71" s="7"/>
      <c r="C71" s="9" t="s">
        <v>68</v>
      </c>
      <c r="D71" s="7" t="s">
        <v>69</v>
      </c>
      <c r="E71" s="116">
        <v>2.722</v>
      </c>
      <c r="F71" s="109"/>
      <c r="G71" s="7"/>
      <c r="H71" s="20"/>
      <c r="I71" s="7"/>
      <c r="J71" s="7"/>
      <c r="K71" s="8"/>
    </row>
    <row r="72" spans="1:11" ht="12.75">
      <c r="A72" s="44"/>
      <c r="B72" s="7"/>
      <c r="C72" s="9" t="s">
        <v>70</v>
      </c>
      <c r="D72" s="7" t="s">
        <v>71</v>
      </c>
      <c r="E72" s="117">
        <v>8.5</v>
      </c>
      <c r="F72" s="111" t="s">
        <v>90</v>
      </c>
      <c r="G72" s="7" t="s">
        <v>72</v>
      </c>
      <c r="H72" s="110">
        <f>E68+E69+H68</f>
        <v>30.266448058823528</v>
      </c>
      <c r="I72" s="7"/>
      <c r="J72" s="7"/>
      <c r="K72" s="8"/>
    </row>
    <row r="73" spans="1:11" ht="12.75">
      <c r="A73" s="44"/>
      <c r="B73" s="7"/>
      <c r="C73" s="9" t="s">
        <v>73</v>
      </c>
      <c r="D73" s="7" t="s">
        <v>71</v>
      </c>
      <c r="E73" s="109">
        <v>2.3</v>
      </c>
      <c r="F73" s="109"/>
      <c r="G73" s="7" t="s">
        <v>74</v>
      </c>
      <c r="H73" s="110">
        <f>(E68*F68+E69*F69+H68*E73)/H72</f>
        <v>1.6517673444248009</v>
      </c>
      <c r="I73" s="7"/>
      <c r="J73" s="7"/>
      <c r="K73" s="8"/>
    </row>
    <row r="74" spans="1:11" ht="12.75">
      <c r="A74" s="44"/>
      <c r="B74" s="7"/>
      <c r="C74" s="9" t="s">
        <v>75</v>
      </c>
      <c r="D74" s="7" t="s">
        <v>71</v>
      </c>
      <c r="E74" s="109">
        <v>11.3</v>
      </c>
      <c r="F74" s="109"/>
      <c r="G74" s="7"/>
      <c r="H74" s="20"/>
      <c r="I74" s="7"/>
      <c r="J74" s="7"/>
      <c r="K74" s="8"/>
    </row>
    <row r="75" spans="1:11" ht="13.5" thickBot="1">
      <c r="A75" s="44"/>
      <c r="B75" s="7"/>
      <c r="C75" s="15" t="s">
        <v>76</v>
      </c>
      <c r="D75" s="16" t="s">
        <v>71</v>
      </c>
      <c r="E75" s="118">
        <v>2.55</v>
      </c>
      <c r="F75" s="112"/>
      <c r="G75" s="16"/>
      <c r="H75" s="113"/>
      <c r="I75" s="7"/>
      <c r="J75" s="7"/>
      <c r="K75" s="8"/>
    </row>
    <row r="76" spans="1:11" ht="12.75">
      <c r="A76" s="44"/>
      <c r="B76" s="44"/>
      <c r="C76" s="114"/>
      <c r="D76" s="44"/>
      <c r="E76" s="44"/>
      <c r="F76" s="44"/>
      <c r="G76" s="44"/>
      <c r="H76" s="44"/>
      <c r="I76" s="44"/>
      <c r="J76" s="44"/>
      <c r="K76" s="8"/>
    </row>
    <row r="77" ht="12.75">
      <c r="C77" s="1"/>
    </row>
    <row r="78" ht="12.75">
      <c r="C78" s="1"/>
    </row>
    <row r="79" ht="12.75">
      <c r="C79" s="1"/>
    </row>
  </sheetData>
  <sheetProtection password="DC3F" sheet="1" objects="1" scenarios="1"/>
  <printOptions/>
  <pageMargins left="0.984251968503937" right="0.4724409448818898" top="0.4330708661417323" bottom="0.3937007874015748" header="0" footer="0"/>
  <pageSetup fitToHeight="1" fitToWidth="1" horizontalDpi="300" verticalDpi="300" orientation="portrait" paperSize="9" scale="71" r:id="rId2"/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GMK4100/4115 weight sheet 2 axle boom dolly (XLS)</dc:title>
  <dc:subject/>
  <dc:creator>Gateway 2000 Licensed User.</dc:creator>
  <cp:keywords/>
  <dc:description/>
  <cp:lastModifiedBy>ca13805</cp:lastModifiedBy>
  <cp:lastPrinted>2007-06-08T12:18:40Z</cp:lastPrinted>
  <dcterms:created xsi:type="dcterms:W3CDTF">2000-03-28T15:53:13Z</dcterms:created>
  <dcterms:modified xsi:type="dcterms:W3CDTF">2009-03-20T14:50:44Z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cti">
    <vt:lpwstr>1</vt:lpwstr>
  </property>
  <property fmtid="{D5CDD505-2E9C-101B-9397-08002B2CF9AE}" pid="4" name="Sortord">
    <vt:lpwstr>8.00000000000000</vt:lpwstr>
  </property>
  <property fmtid="{D5CDD505-2E9C-101B-9397-08002B2CF9AE}" pid="5" name="ContentTy">
    <vt:lpwstr>Document</vt:lpwstr>
  </property>
  <property fmtid="{D5CDD505-2E9C-101B-9397-08002B2CF9AE}" pid="6" name="Produ">
    <vt:lpwstr>;#All Terrain (GMK);#</vt:lpwstr>
  </property>
</Properties>
</file>