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Unprotected" sheetId="1" r:id="rId1"/>
  </sheets>
  <definedNames/>
  <calcPr fullCalcOnLoad="1"/>
</workbook>
</file>

<file path=xl/sharedStrings.xml><?xml version="1.0" encoding="utf-8"?>
<sst xmlns="http://schemas.openxmlformats.org/spreadsheetml/2006/main" count="128" uniqueCount="100">
  <si>
    <t xml:space="preserve"> </t>
  </si>
  <si>
    <t>file:</t>
  </si>
  <si>
    <t>updated:</t>
  </si>
  <si>
    <t>date:</t>
  </si>
  <si>
    <t>dept:</t>
  </si>
  <si>
    <t>TK 1- Si</t>
  </si>
  <si>
    <t>For information only!</t>
  </si>
  <si>
    <t xml:space="preserve">                                                          Weight of boom dolly  ( t ) :</t>
  </si>
  <si>
    <t xml:space="preserve">                       Distance from boom pivot pin to centre of dolly (m):</t>
  </si>
  <si>
    <t>excluding all parts as shown below</t>
  </si>
  <si>
    <t>total</t>
  </si>
  <si>
    <t>2 front-</t>
  </si>
  <si>
    <t>2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</si>
  <si>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</si>
  <si>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</si>
  <si>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</si>
  <si>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</si>
  <si>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</si>
  <si>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</si>
  <si>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</si>
  <si>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</si>
  <si>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O/R pads on jack- cylinders</t>
  </si>
  <si>
    <t>O/R pads on dolly</t>
  </si>
  <si>
    <t>8 * 8 * 8 drive/steer</t>
  </si>
  <si>
    <t>aux. hoist</t>
  </si>
  <si>
    <t>brackets for swingaway</t>
  </si>
  <si>
    <t>2nd oil cooler on superstructure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</si>
  <si>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</si>
  <si>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</si>
  <si>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</si>
  <si>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</si>
  <si>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</si>
  <si>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remove outriggers in front</t>
  </si>
  <si>
    <t>remove outriggers at the rear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</si>
  <si>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</si>
  <si>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</si>
  <si>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</si>
  <si>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</si>
  <si>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</si>
  <si>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</si>
  <si>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Axle loads in ( t ):                          1. axle: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</si>
  <si>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</si>
  <si>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</si>
  <si>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</si>
  <si>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</si>
  <si>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</si>
  <si>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</si>
  <si>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</si>
  <si>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</si>
  <si>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</si>
  <si>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</si>
  <si>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</si>
  <si>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</si>
  <si>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</si>
  <si>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</si>
  <si>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</si>
  <si>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</si>
  <si>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</si>
  <si>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1.-4. axle:</t>
  </si>
  <si>
    <t xml:space="preserve">  1.-6. axle:</t>
  </si>
  <si>
    <t xml:space="preserve">  2.-4. axle:</t>
  </si>
  <si>
    <t xml:space="preserve">  2.-6. axle:</t>
  </si>
  <si>
    <t xml:space="preserve">  3.-4. axle:</t>
  </si>
  <si>
    <t xml:space="preserve">  3.-6. axle:</t>
  </si>
  <si>
    <t xml:space="preserve">  5.-6. axle:</t>
  </si>
  <si>
    <t>Fahrgestell 8*6*8</t>
  </si>
  <si>
    <t xml:space="preserve">     G * Xs</t>
  </si>
  <si>
    <t xml:space="preserve">      G Afa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</si>
  <si>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</si>
  <si>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</si>
  <si>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</si>
  <si>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</si>
  <si>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</si>
  <si>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</si>
  <si>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</si>
  <si>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</si>
  <si>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</si>
  <si>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</si>
  <si>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</si>
  <si>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63- t- hook block on dolly</t>
  </si>
  <si>
    <t>fixed counterweight 0,5 t in lieu of aux. hoist</t>
  </si>
  <si>
    <t>.. t extending force (max. 20 t)</t>
  </si>
  <si>
    <t>retracting force ( max. 11 t)</t>
  </si>
  <si>
    <t>Drehtisch mit Anteil W- Zyl., GG-Platte 1 t u. GG- Hubzyl.</t>
  </si>
  <si>
    <t>hose reel for swingaway</t>
  </si>
  <si>
    <t>...... t counterweight</t>
  </si>
  <si>
    <t>hydraulic swingaway 9 m (29.5 ft)</t>
  </si>
  <si>
    <t>hydraulic swingaway 9 to 15 m (49.2 ft)</t>
  </si>
  <si>
    <t>(8,3 - 10,0 m)</t>
  </si>
  <si>
    <t>fixed counterweight 1,3 t on turntable</t>
  </si>
  <si>
    <t>lb.</t>
  </si>
  <si>
    <t>ft.</t>
  </si>
  <si>
    <t>with 2- Axle boom dolly</t>
  </si>
  <si>
    <r>
      <t xml:space="preserve">Axle Loads GMK 4080-1 / </t>
    </r>
    <r>
      <rPr>
        <b/>
        <sz val="8"/>
        <color indexed="10"/>
        <rFont val="Arial"/>
        <family val="2"/>
      </rPr>
      <t>4100B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</si>
  <si>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Standard</t>
  </si>
  <si>
    <r>
      <t>Standard unit</t>
    </r>
    <r>
      <rPr>
        <sz val="11"/>
        <rFont val="Times New Roman"/>
        <family val="1"/>
      </rPr>
      <t xml:space="preserve"> </t>
    </r>
    <r>
      <rPr>
        <sz val="8"/>
        <rFont val="Arial"/>
        <family val="2"/>
      </rPr>
      <t>with tyres 14.00 R25 XGC on steel wheels; 8 * 6 * 8; with driver; tanks filled</t>
    </r>
  </si>
  <si>
    <t>weight</t>
  </si>
  <si>
    <t>axles</t>
  </si>
  <si>
    <t>(lbs)</t>
  </si>
  <si>
    <t>AX4080-1 4100B_2A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</si>
</sst>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[$-407]d/\ mmm/\ yy;@"/>
    <numFmt numFmtId="191" formatCode="mm/dd/yyyy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11"/>
      <name val="Times New Roman"/>
      <family val="1"/>
    </font>
    <font>
      <sz val="8"/>
      <name val="System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2" borderId="0" xfId="0" applyNumberFormat="1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right"/>
      <protection/>
    </xf>
    <xf numFmtId="0" fontId="7" fillId="2" borderId="2" xfId="0" applyNumberFormat="1" applyFont="1" applyFill="1" applyBorder="1" applyAlignment="1" applyProtection="1">
      <alignment horizontal="left"/>
      <protection/>
    </xf>
    <xf numFmtId="0" fontId="7" fillId="2" borderId="3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7" fillId="2" borderId="4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7" fillId="2" borderId="0" xfId="0" applyNumberFormat="1" applyFont="1" applyFill="1" applyAlignment="1" applyProtection="1">
      <alignment horizontal="right"/>
      <protection/>
    </xf>
    <xf numFmtId="190" fontId="7" fillId="2" borderId="0" xfId="0" applyNumberFormat="1" applyFont="1" applyFill="1" applyBorder="1" applyAlignment="1" applyProtection="1">
      <alignment horizontal="left"/>
      <protection/>
    </xf>
    <xf numFmtId="191" fontId="7" fillId="2" borderId="5" xfId="0" applyNumberFormat="1" applyFont="1" applyFill="1" applyBorder="1" applyAlignment="1" applyProtection="1">
      <alignment/>
      <protection/>
    </xf>
    <xf numFmtId="14" fontId="7" fillId="2" borderId="0" xfId="0" applyNumberFormat="1" applyFont="1" applyFill="1" applyAlignment="1" applyProtection="1">
      <alignment horizontal="right"/>
      <protection/>
    </xf>
    <xf numFmtId="14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 horizontal="right"/>
      <protection/>
    </xf>
    <xf numFmtId="0" fontId="7" fillId="2" borderId="7" xfId="0" applyNumberFormat="1" applyFont="1" applyFill="1" applyBorder="1" applyAlignment="1" applyProtection="1">
      <alignment horizontal="left"/>
      <protection/>
    </xf>
    <xf numFmtId="0" fontId="7" fillId="2" borderId="8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7" fillId="2" borderId="3" xfId="0" applyNumberFormat="1" applyFont="1" applyFill="1" applyBorder="1" applyAlignment="1" applyProtection="1">
      <alignment/>
      <protection/>
    </xf>
    <xf numFmtId="0" fontId="9" fillId="2" borderId="9" xfId="0" applyNumberFormat="1" applyFont="1" applyFill="1" applyBorder="1" applyAlignment="1" applyProtection="1">
      <alignment horizontal="left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Alignment="1" applyProtection="1">
      <alignment/>
      <protection/>
    </xf>
    <xf numFmtId="0" fontId="9" fillId="2" borderId="0" xfId="0" applyFont="1" applyFill="1" applyBorder="1" applyAlignment="1" applyProtection="1" quotePrefix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5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189" fontId="9" fillId="2" borderId="0" xfId="0" applyNumberFormat="1" applyFont="1" applyFill="1" applyBorder="1" applyAlignment="1" applyProtection="1">
      <alignment/>
      <protection/>
    </xf>
    <xf numFmtId="1" fontId="10" fillId="2" borderId="5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 quotePrefix="1">
      <alignment horizontal="left"/>
      <protection/>
    </xf>
    <xf numFmtId="0" fontId="7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7" fillId="2" borderId="13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  <xf numFmtId="0" fontId="7" fillId="2" borderId="14" xfId="0" applyNumberFormat="1" applyFont="1" applyFill="1" applyBorder="1" applyAlignment="1" applyProtection="1">
      <alignment horizontal="center"/>
      <protection/>
    </xf>
    <xf numFmtId="0" fontId="7" fillId="2" borderId="15" xfId="0" applyNumberFormat="1" applyFont="1" applyFill="1" applyBorder="1" applyAlignment="1" applyProtection="1">
      <alignment horizontal="center"/>
      <protection/>
    </xf>
    <xf numFmtId="0" fontId="7" fillId="2" borderId="16" xfId="0" applyNumberFormat="1" applyFont="1" applyFill="1" applyBorder="1" applyAlignment="1" applyProtection="1">
      <alignment horizontal="center"/>
      <protection/>
    </xf>
    <xf numFmtId="0" fontId="7" fillId="2" borderId="17" xfId="0" applyNumberFormat="1" applyFont="1" applyFill="1" applyBorder="1" applyAlignment="1" applyProtection="1">
      <alignment horizontal="center"/>
      <protection/>
    </xf>
    <xf numFmtId="0" fontId="7" fillId="2" borderId="18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 quotePrefix="1">
      <alignment horizontal="left"/>
      <protection/>
    </xf>
    <xf numFmtId="1" fontId="9" fillId="2" borderId="13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" fontId="9" fillId="2" borderId="5" xfId="0" applyNumberFormat="1" applyFont="1" applyFill="1" applyBorder="1" applyAlignment="1" applyProtection="1">
      <alignment horizontal="center"/>
      <protection/>
    </xf>
    <xf numFmtId="3" fontId="10" fillId="2" borderId="13" xfId="0" applyNumberFormat="1" applyFont="1" applyFill="1" applyBorder="1" applyAlignment="1" applyProtection="1">
      <alignment horizontal="center"/>
      <protection/>
    </xf>
    <xf numFmtId="3" fontId="10" fillId="2" borderId="18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9" fillId="2" borderId="7" xfId="0" applyNumberFormat="1" applyFont="1" applyFill="1" applyBorder="1" applyAlignment="1" applyProtection="1" quotePrefix="1">
      <alignment horizontal="left"/>
      <protection/>
    </xf>
    <xf numFmtId="0" fontId="7" fillId="2" borderId="19" xfId="0" applyNumberFormat="1" applyFont="1" applyFill="1" applyBorder="1" applyAlignment="1" applyProtection="1">
      <alignment/>
      <protection/>
    </xf>
    <xf numFmtId="0" fontId="7" fillId="2" borderId="8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7" fillId="3" borderId="20" xfId="0" applyNumberFormat="1" applyFont="1" applyFill="1" applyBorder="1" applyAlignment="1" applyProtection="1">
      <alignment/>
      <protection locked="0"/>
    </xf>
    <xf numFmtId="0" fontId="7" fillId="2" borderId="21" xfId="0" applyNumberFormat="1" applyFont="1" applyFill="1" applyBorder="1" applyAlignment="1" applyProtection="1">
      <alignment/>
      <protection/>
    </xf>
    <xf numFmtId="1" fontId="7" fillId="2" borderId="22" xfId="0" applyNumberFormat="1" applyFont="1" applyFill="1" applyBorder="1" applyAlignment="1" applyProtection="1">
      <alignment/>
      <protection/>
    </xf>
    <xf numFmtId="1" fontId="7" fillId="2" borderId="21" xfId="0" applyNumberFormat="1" applyFont="1" applyFill="1" applyBorder="1" applyAlignment="1" applyProtection="1">
      <alignment/>
      <protection/>
    </xf>
    <xf numFmtId="1" fontId="7" fillId="2" borderId="23" xfId="0" applyNumberFormat="1" applyFont="1" applyFill="1" applyBorder="1" applyAlignment="1" applyProtection="1">
      <alignment horizontal="right"/>
      <protection/>
    </xf>
    <xf numFmtId="189" fontId="7" fillId="2" borderId="0" xfId="0" applyNumberFormat="1" applyFont="1" applyFill="1" applyAlignment="1" applyProtection="1">
      <alignment/>
      <protection/>
    </xf>
    <xf numFmtId="3" fontId="10" fillId="2" borderId="24" xfId="0" applyNumberFormat="1" applyFont="1" applyFill="1" applyBorder="1" applyAlignment="1" applyProtection="1">
      <alignment/>
      <protection/>
    </xf>
    <xf numFmtId="3" fontId="10" fillId="2" borderId="25" xfId="0" applyNumberFormat="1" applyFont="1" applyFill="1" applyBorder="1" applyAlignment="1" applyProtection="1">
      <alignment/>
      <protection/>
    </xf>
    <xf numFmtId="3" fontId="10" fillId="2" borderId="26" xfId="0" applyNumberFormat="1" applyFont="1" applyFill="1" applyBorder="1" applyAlignment="1" applyProtection="1">
      <alignment/>
      <protection/>
    </xf>
    <xf numFmtId="1" fontId="7" fillId="2" borderId="21" xfId="0" applyNumberFormat="1" applyFont="1" applyFill="1" applyBorder="1" applyAlignment="1" applyProtection="1">
      <alignment horizontal="right"/>
      <protection/>
    </xf>
    <xf numFmtId="1" fontId="7" fillId="2" borderId="22" xfId="0" applyNumberFormat="1" applyFont="1" applyFill="1" applyBorder="1" applyAlignment="1" applyProtection="1">
      <alignment horizontal="right"/>
      <protection/>
    </xf>
    <xf numFmtId="1" fontId="7" fillId="2" borderId="23" xfId="0" applyNumberFormat="1" applyFont="1" applyFill="1" applyBorder="1" applyAlignment="1" applyProtection="1">
      <alignment/>
      <protection/>
    </xf>
    <xf numFmtId="0" fontId="7" fillId="2" borderId="21" xfId="0" applyNumberFormat="1" applyFont="1" applyFill="1" applyBorder="1" applyAlignment="1" applyProtection="1" quotePrefix="1">
      <alignment horizontal="left"/>
      <protection/>
    </xf>
    <xf numFmtId="189" fontId="7" fillId="0" borderId="0" xfId="0" applyNumberFormat="1" applyFont="1" applyFill="1" applyAlignment="1" applyProtection="1">
      <alignment/>
      <protection/>
    </xf>
    <xf numFmtId="189" fontId="7" fillId="4" borderId="0" xfId="0" applyNumberFormat="1" applyFont="1" applyFill="1" applyAlignment="1" applyProtection="1">
      <alignment/>
      <protection/>
    </xf>
    <xf numFmtId="0" fontId="7" fillId="2" borderId="21" xfId="0" applyNumberFormat="1" applyFont="1" applyFill="1" applyBorder="1" applyAlignment="1" applyProtection="1">
      <alignment horizontal="left"/>
      <protection/>
    </xf>
    <xf numFmtId="3" fontId="10" fillId="2" borderId="27" xfId="0" applyNumberFormat="1" applyFon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/>
    </xf>
    <xf numFmtId="3" fontId="10" fillId="2" borderId="29" xfId="0" applyNumberFormat="1" applyFont="1" applyFill="1" applyBorder="1" applyAlignment="1" applyProtection="1">
      <alignment/>
      <protection/>
    </xf>
    <xf numFmtId="0" fontId="7" fillId="2" borderId="15" xfId="0" applyNumberFormat="1" applyFont="1" applyFill="1" applyBorder="1" applyAlignment="1" applyProtection="1">
      <alignment/>
      <protection/>
    </xf>
    <xf numFmtId="1" fontId="9" fillId="2" borderId="13" xfId="0" applyNumberFormat="1" applyFont="1" applyFill="1" applyBorder="1" applyAlignment="1" applyProtection="1">
      <alignment/>
      <protection/>
    </xf>
    <xf numFmtId="1" fontId="9" fillId="2" borderId="18" xfId="0" applyNumberFormat="1" applyFont="1" applyFill="1" applyBorder="1" applyAlignment="1" applyProtection="1">
      <alignment/>
      <protection/>
    </xf>
    <xf numFmtId="0" fontId="10" fillId="2" borderId="7" xfId="0" applyNumberFormat="1" applyFont="1" applyFill="1" applyBorder="1" applyAlignment="1" applyProtection="1" quotePrefix="1">
      <alignment horizontal="left"/>
      <protection/>
    </xf>
    <xf numFmtId="3" fontId="10" fillId="2" borderId="19" xfId="0" applyNumberFormat="1" applyFont="1" applyFill="1" applyBorder="1" applyAlignment="1" applyProtection="1">
      <alignment/>
      <protection/>
    </xf>
    <xf numFmtId="3" fontId="10" fillId="2" borderId="30" xfId="0" applyNumberFormat="1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right"/>
      <protection/>
    </xf>
    <xf numFmtId="2" fontId="9" fillId="2" borderId="15" xfId="0" applyNumberFormat="1" applyFont="1" applyFill="1" applyBorder="1" applyAlignment="1" applyProtection="1">
      <alignment horizontal="right"/>
      <protection/>
    </xf>
    <xf numFmtId="3" fontId="10" fillId="2" borderId="2" xfId="0" applyNumberFormat="1" applyFont="1" applyFill="1" applyBorder="1" applyAlignment="1" applyProtection="1">
      <alignment/>
      <protection/>
    </xf>
    <xf numFmtId="0" fontId="7" fillId="2" borderId="31" xfId="0" applyNumberFormat="1" applyFont="1" applyFill="1" applyBorder="1" applyAlignment="1" applyProtection="1" quotePrefix="1">
      <alignment horizontal="left"/>
      <protection/>
    </xf>
    <xf numFmtId="0" fontId="9" fillId="2" borderId="0" xfId="0" applyNumberFormat="1" applyFont="1" applyFill="1" applyAlignment="1" applyProtection="1">
      <alignment horizontal="right"/>
      <protection/>
    </xf>
    <xf numFmtId="2" fontId="9" fillId="2" borderId="13" xfId="0" applyNumberFormat="1" applyFont="1" applyFill="1" applyBorder="1" applyAlignment="1" applyProtection="1">
      <alignment horizontal="right"/>
      <protection/>
    </xf>
    <xf numFmtId="3" fontId="10" fillId="2" borderId="0" xfId="0" applyNumberFormat="1" applyFont="1" applyFill="1" applyBorder="1" applyAlignment="1" applyProtection="1">
      <alignment/>
      <protection/>
    </xf>
    <xf numFmtId="2" fontId="7" fillId="2" borderId="32" xfId="0" applyNumberFormat="1" applyFont="1" applyFill="1" applyBorder="1" applyAlignment="1" applyProtection="1" quotePrefix="1">
      <alignment horizontal="right"/>
      <protection/>
    </xf>
    <xf numFmtId="2" fontId="7" fillId="2" borderId="18" xfId="0" applyNumberFormat="1" applyFont="1" applyFill="1" applyBorder="1" applyAlignment="1" applyProtection="1">
      <alignment horizontal="right"/>
      <protection/>
    </xf>
    <xf numFmtId="0" fontId="9" fillId="2" borderId="7" xfId="0" applyNumberFormat="1" applyFont="1" applyFill="1" applyBorder="1" applyAlignment="1" applyProtection="1">
      <alignment horizontal="right"/>
      <protection/>
    </xf>
    <xf numFmtId="0" fontId="7" fillId="2" borderId="0" xfId="0" applyNumberFormat="1" applyFont="1" applyFill="1" applyAlignment="1" applyProtection="1" quotePrefix="1">
      <alignment horizontal="right"/>
      <protection/>
    </xf>
    <xf numFmtId="2" fontId="7" fillId="2" borderId="0" xfId="0" applyNumberFormat="1" applyFont="1" applyFill="1" applyAlignment="1" applyProtection="1">
      <alignment/>
      <protection/>
    </xf>
    <xf numFmtId="2" fontId="7" fillId="2" borderId="2" xfId="0" applyNumberFormat="1" applyFont="1" applyFill="1" applyBorder="1" applyAlignment="1" applyProtection="1">
      <alignment/>
      <protection/>
    </xf>
    <xf numFmtId="189" fontId="7" fillId="2" borderId="2" xfId="0" applyNumberFormat="1" applyFont="1" applyFill="1" applyBorder="1" applyAlignment="1" applyProtection="1">
      <alignment/>
      <protection/>
    </xf>
    <xf numFmtId="189" fontId="7" fillId="2" borderId="3" xfId="0" applyNumberFormat="1" applyFont="1" applyFill="1" applyBorder="1" applyAlignment="1" applyProtection="1">
      <alignment/>
      <protection/>
    </xf>
    <xf numFmtId="189" fontId="7" fillId="2" borderId="0" xfId="0" applyNumberFormat="1" applyFont="1" applyFill="1" applyBorder="1" applyAlignment="1" applyProtection="1">
      <alignment/>
      <protection/>
    </xf>
    <xf numFmtId="2" fontId="13" fillId="3" borderId="0" xfId="0" applyNumberFormat="1" applyFont="1" applyFill="1" applyAlignment="1" applyProtection="1">
      <alignment/>
      <protection locked="0"/>
    </xf>
    <xf numFmtId="189" fontId="13" fillId="3" borderId="0" xfId="0" applyNumberFormat="1" applyFont="1" applyFill="1" applyAlignment="1" applyProtection="1">
      <alignment/>
      <protection locked="0"/>
    </xf>
    <xf numFmtId="189" fontId="7" fillId="2" borderId="0" xfId="0" applyNumberFormat="1" applyFont="1" applyFill="1" applyAlignment="1" applyProtection="1" quotePrefix="1">
      <alignment horizontal="left"/>
      <protection/>
    </xf>
    <xf numFmtId="2" fontId="13" fillId="3" borderId="7" xfId="0" applyNumberFormat="1" applyFont="1" applyFill="1" applyBorder="1" applyAlignment="1" applyProtection="1">
      <alignment/>
      <protection locked="0"/>
    </xf>
    <xf numFmtId="189" fontId="7" fillId="2" borderId="7" xfId="0" applyNumberFormat="1" applyFont="1" applyFill="1" applyBorder="1" applyAlignment="1" applyProtection="1">
      <alignment/>
      <protection/>
    </xf>
    <xf numFmtId="1" fontId="7" fillId="2" borderId="13" xfId="0" applyNumberFormat="1" applyFont="1" applyFill="1" applyBorder="1" applyAlignment="1" applyProtection="1">
      <alignment/>
      <protection/>
    </xf>
    <xf numFmtId="1" fontId="7" fillId="2" borderId="0" xfId="0" applyNumberFormat="1" applyFont="1" applyFill="1" applyAlignment="1" applyProtection="1">
      <alignment/>
      <protection/>
    </xf>
    <xf numFmtId="1" fontId="7" fillId="2" borderId="5" xfId="0" applyNumberFormat="1" applyFont="1" applyFill="1" applyBorder="1" applyAlignment="1" applyProtection="1">
      <alignment/>
      <protection/>
    </xf>
    <xf numFmtId="0" fontId="7" fillId="2" borderId="20" xfId="0" applyNumberFormat="1" applyFont="1" applyFill="1" applyBorder="1" applyAlignment="1" applyProtection="1">
      <alignment/>
      <protection locked="0"/>
    </xf>
    <xf numFmtId="0" fontId="7" fillId="3" borderId="17" xfId="0" applyNumberFormat="1" applyFont="1" applyFill="1" applyBorder="1" applyAlignment="1" applyProtection="1">
      <alignment/>
      <protection/>
    </xf>
    <xf numFmtId="2" fontId="9" fillId="2" borderId="19" xfId="0" applyNumberFormat="1" applyFont="1" applyFill="1" applyBorder="1" applyAlignment="1" applyProtection="1">
      <alignment horizontal="right"/>
      <protection/>
    </xf>
    <xf numFmtId="3" fontId="10" fillId="2" borderId="7" xfId="0" applyNumberFormat="1" applyFont="1" applyFill="1" applyBorder="1" applyAlignment="1" applyProtection="1">
      <alignment/>
      <protection/>
    </xf>
    <xf numFmtId="2" fontId="7" fillId="2" borderId="33" xfId="0" applyNumberFormat="1" applyFont="1" applyFill="1" applyBorder="1" applyAlignment="1" applyProtection="1" quotePrefix="1">
      <alignment horizontal="right"/>
      <protection/>
    </xf>
    <xf numFmtId="2" fontId="13" fillId="2" borderId="30" xfId="0" applyNumberFormat="1" applyFont="1" applyFill="1" applyBorder="1" applyAlignment="1" applyProtection="1">
      <alignment horizontal="right"/>
      <protection locked="0"/>
    </xf>
    <xf numFmtId="2" fontId="13" fillId="3" borderId="1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1" sqref="A1"/>
    </sheetView>
  </sheetViews>
  <sheetFormatPr defaultColWidth="8.796875" defaultRowHeight="15"/>
  <cols>
    <col min="1" max="1" width="7" style="9" customWidth="1"/>
    <col min="2" max="2" width="4.69921875" style="9" customWidth="1"/>
    <col min="3" max="3" width="31.69921875" style="9" customWidth="1"/>
    <col min="4" max="6" width="9.09765625" style="9" customWidth="1"/>
    <col min="7" max="7" width="9.3984375" style="9" customWidth="1"/>
    <col min="8" max="8" width="7.69921875" style="9" hidden="1" customWidth="1"/>
    <col min="9" max="9" width="15.09765625" style="9" hidden="1" customWidth="1"/>
    <col min="10" max="10" width="7.59765625" style="9" hidden="1" customWidth="1"/>
    <col min="11" max="11" width="7.69921875" style="9" hidden="1" customWidth="1"/>
    <col min="12" max="12" width="5.69921875" style="9" customWidth="1"/>
    <col min="13" max="16" width="7.796875" style="9" customWidth="1"/>
    <col min="17" max="16384" width="11.59765625" style="9" customWidth="1"/>
  </cols>
  <sheetData>
    <row r="1" spans="1:13" ht="12.75">
      <c r="A1" s="1"/>
      <c r="B1" s="2"/>
      <c r="C1" s="3" t="s">
        <v>0</v>
      </c>
      <c r="D1" s="3" t="s">
        <v>0</v>
      </c>
      <c r="E1" s="4" t="s">
        <v>1</v>
      </c>
      <c r="F1" s="5" t="s">
        <v>99</v>
      </c>
      <c r="G1" s="6"/>
      <c r="H1" s="1"/>
      <c r="I1" s="1"/>
      <c r="J1" s="7"/>
      <c r="K1" s="7"/>
      <c r="L1" s="7"/>
      <c r="M1" s="8"/>
    </row>
    <row r="2" spans="1:13" ht="12.75">
      <c r="A2" s="1"/>
      <c r="B2" s="10"/>
      <c r="C2" s="11" t="s">
        <v>0</v>
      </c>
      <c r="D2" s="1"/>
      <c r="E2" s="12" t="s">
        <v>2</v>
      </c>
      <c r="F2" s="13">
        <v>38884</v>
      </c>
      <c r="G2" s="14"/>
      <c r="H2" s="1"/>
      <c r="I2" s="1"/>
      <c r="J2" s="7"/>
      <c r="K2" s="7"/>
      <c r="L2" s="7"/>
      <c r="M2" s="8"/>
    </row>
    <row r="3" spans="1:13" ht="12.75">
      <c r="A3" s="1"/>
      <c r="B3" s="10"/>
      <c r="C3" s="1" t="s">
        <v>0</v>
      </c>
      <c r="D3" s="1"/>
      <c r="E3" s="15" t="s">
        <v>3</v>
      </c>
      <c r="F3" s="13">
        <f ca="1">NOW()</f>
        <v>39857.67503854167</v>
      </c>
      <c r="G3" s="16"/>
      <c r="H3" s="1"/>
      <c r="I3" s="1"/>
      <c r="J3" s="7"/>
      <c r="K3" s="7"/>
      <c r="L3" s="7"/>
      <c r="M3" s="8"/>
    </row>
    <row r="4" spans="1:13" ht="13.5" thickBot="1">
      <c r="A4" s="1"/>
      <c r="B4" s="17"/>
      <c r="C4" s="18" t="s">
        <v>0</v>
      </c>
      <c r="D4" s="18" t="s">
        <v>0</v>
      </c>
      <c r="E4" s="19" t="s">
        <v>4</v>
      </c>
      <c r="F4" s="20" t="s">
        <v>5</v>
      </c>
      <c r="G4" s="21"/>
      <c r="H4" s="1"/>
      <c r="I4" s="1"/>
      <c r="J4" s="7"/>
      <c r="K4" s="7"/>
      <c r="L4" s="7"/>
      <c r="M4" s="8"/>
    </row>
    <row r="5" spans="1:13" ht="9.75" customHeight="1" thickBot="1">
      <c r="A5" s="1"/>
      <c r="B5" s="22"/>
      <c r="C5" s="3" t="s">
        <v>0</v>
      </c>
      <c r="D5" s="3"/>
      <c r="E5" s="3"/>
      <c r="F5" s="3"/>
      <c r="G5" s="23"/>
      <c r="H5" s="1"/>
      <c r="I5" s="1"/>
      <c r="J5" s="7"/>
      <c r="K5" s="7"/>
      <c r="L5" s="7"/>
      <c r="M5" s="8"/>
    </row>
    <row r="6" spans="1:13" ht="13.5" customHeight="1" thickBot="1">
      <c r="A6" s="1"/>
      <c r="B6" s="10"/>
      <c r="C6" s="24" t="s">
        <v>93</v>
      </c>
      <c r="D6" s="25" t="s">
        <v>94</v>
      </c>
      <c r="E6" s="26"/>
      <c r="F6" s="25" t="s">
        <v>6</v>
      </c>
      <c r="G6" s="26"/>
      <c r="H6" s="1"/>
      <c r="I6" s="1"/>
      <c r="J6" s="27"/>
      <c r="K6" s="27"/>
      <c r="L6" s="27"/>
      <c r="M6" s="8"/>
    </row>
    <row r="7" spans="1:13" ht="9.75" customHeight="1" thickBot="1">
      <c r="A7" s="1"/>
      <c r="B7" s="10"/>
      <c r="C7" s="28" t="s">
        <v>92</v>
      </c>
      <c r="D7" s="29"/>
      <c r="E7" s="29"/>
      <c r="F7" s="30"/>
      <c r="G7" s="31"/>
      <c r="H7" s="1"/>
      <c r="I7" s="1"/>
      <c r="J7" s="32"/>
      <c r="K7" s="32"/>
      <c r="L7" s="32"/>
      <c r="M7" s="8"/>
    </row>
    <row r="8" spans="1:13" ht="13.5">
      <c r="A8" s="1"/>
      <c r="B8" s="10"/>
      <c r="C8" s="33" t="s">
        <v>95</v>
      </c>
      <c r="D8" s="34"/>
      <c r="E8" s="34"/>
      <c r="F8" s="35"/>
      <c r="G8" s="36"/>
      <c r="H8" s="1"/>
      <c r="I8" s="1"/>
      <c r="J8" s="32"/>
      <c r="K8" s="32"/>
      <c r="L8" s="32"/>
      <c r="M8" s="8"/>
    </row>
    <row r="9" spans="1:12" ht="12.75">
      <c r="A9" s="1"/>
      <c r="B9" s="10"/>
      <c r="C9" s="37" t="s">
        <v>7</v>
      </c>
      <c r="D9" s="34"/>
      <c r="E9" s="38"/>
      <c r="F9" s="39">
        <f>E69</f>
        <v>2.721</v>
      </c>
      <c r="G9" s="40">
        <f>F9*2204.6</f>
        <v>5998.7166</v>
      </c>
      <c r="H9" s="1"/>
      <c r="I9" s="1"/>
      <c r="J9" s="32"/>
      <c r="K9" s="32" t="s">
        <v>90</v>
      </c>
      <c r="L9" s="32"/>
    </row>
    <row r="10" spans="1:13" ht="12.75">
      <c r="A10" s="1"/>
      <c r="B10" s="10"/>
      <c r="C10" s="41" t="s">
        <v>8</v>
      </c>
      <c r="D10" s="35"/>
      <c r="E10" s="42"/>
      <c r="F10" s="39">
        <f>E70</f>
        <v>9.36</v>
      </c>
      <c r="G10" s="40"/>
      <c r="H10" s="1"/>
      <c r="I10" s="1"/>
      <c r="J10" s="32"/>
      <c r="K10" s="32" t="s">
        <v>91</v>
      </c>
      <c r="L10" s="32"/>
      <c r="M10" s="8"/>
    </row>
    <row r="11" spans="1:13" ht="13.5" thickBot="1">
      <c r="A11" s="1"/>
      <c r="B11" s="10"/>
      <c r="C11" s="43" t="s">
        <v>9</v>
      </c>
      <c r="D11" s="35"/>
      <c r="E11" s="35"/>
      <c r="F11" s="34"/>
      <c r="G11" s="36"/>
      <c r="H11" s="1"/>
      <c r="I11" s="1"/>
      <c r="J11" s="32"/>
      <c r="K11" s="32"/>
      <c r="L11" s="32"/>
      <c r="M11" s="8"/>
    </row>
    <row r="12" spans="1:16" ht="12.75">
      <c r="A12" s="1"/>
      <c r="B12" s="10"/>
      <c r="C12" s="35" t="s">
        <v>0</v>
      </c>
      <c r="D12" s="44" t="s">
        <v>10</v>
      </c>
      <c r="E12" s="45" t="s">
        <v>11</v>
      </c>
      <c r="F12" s="44" t="s">
        <v>12</v>
      </c>
      <c r="G12" s="46" t="s">
        <v>13</v>
      </c>
      <c r="H12" s="1"/>
      <c r="I12" s="1"/>
      <c r="J12" s="32"/>
      <c r="K12" s="32"/>
      <c r="L12" s="32"/>
      <c r="M12" s="47" t="s">
        <v>10</v>
      </c>
      <c r="N12" s="48" t="s">
        <v>11</v>
      </c>
      <c r="O12" s="48" t="s">
        <v>12</v>
      </c>
      <c r="P12" s="49" t="s">
        <v>13</v>
      </c>
    </row>
    <row r="13" spans="1:16" ht="12.75">
      <c r="A13" s="1"/>
      <c r="B13" s="10"/>
      <c r="C13" s="35" t="s">
        <v>0</v>
      </c>
      <c r="D13" s="44" t="s">
        <v>14</v>
      </c>
      <c r="E13" s="45" t="s">
        <v>15</v>
      </c>
      <c r="F13" s="44" t="s">
        <v>15</v>
      </c>
      <c r="G13" s="46" t="s">
        <v>15</v>
      </c>
      <c r="H13" s="1" t="s">
        <v>16</v>
      </c>
      <c r="I13" s="1" t="s">
        <v>17</v>
      </c>
      <c r="J13" s="32" t="s">
        <v>18</v>
      </c>
      <c r="K13" s="32"/>
      <c r="L13" s="32"/>
      <c r="M13" s="50" t="s">
        <v>96</v>
      </c>
      <c r="N13" s="44" t="s">
        <v>97</v>
      </c>
      <c r="O13" s="44" t="s">
        <v>97</v>
      </c>
      <c r="P13" s="51" t="s">
        <v>97</v>
      </c>
    </row>
    <row r="14" spans="1:16" ht="12.75">
      <c r="A14" s="1"/>
      <c r="B14" s="10"/>
      <c r="C14" s="52" t="s">
        <v>19</v>
      </c>
      <c r="D14" s="53">
        <f>SUM(E14:G14)</f>
        <v>39041</v>
      </c>
      <c r="E14" s="54">
        <f>H70*(J14+H71)/(I14+J14)*1000</f>
        <v>18083.688518518517</v>
      </c>
      <c r="F14" s="53">
        <f>H70*1000-E14</f>
        <v>11930.974729344729</v>
      </c>
      <c r="G14" s="55">
        <f>(H67+E69)*1000</f>
        <v>9026.336752136753</v>
      </c>
      <c r="H14" s="1"/>
      <c r="I14" s="1">
        <v>3.35</v>
      </c>
      <c r="J14" s="32">
        <v>0.4</v>
      </c>
      <c r="K14" s="32"/>
      <c r="L14" s="32"/>
      <c r="M14" s="50" t="s">
        <v>98</v>
      </c>
      <c r="N14" s="44" t="s">
        <v>98</v>
      </c>
      <c r="O14" s="44" t="s">
        <v>98</v>
      </c>
      <c r="P14" s="51" t="s">
        <v>98</v>
      </c>
    </row>
    <row r="15" spans="1:16" ht="9.75" customHeight="1">
      <c r="A15" s="1"/>
      <c r="B15" s="10"/>
      <c r="C15" s="35" t="s">
        <v>0</v>
      </c>
      <c r="D15" s="56"/>
      <c r="E15" s="56"/>
      <c r="F15" s="56"/>
      <c r="G15" s="57"/>
      <c r="H15" s="1"/>
      <c r="I15" s="1"/>
      <c r="J15" s="32"/>
      <c r="K15" s="32"/>
      <c r="L15" s="32"/>
      <c r="M15" s="58"/>
      <c r="N15" s="59"/>
      <c r="O15" s="59"/>
      <c r="P15" s="60"/>
    </row>
    <row r="16" spans="1:16" ht="13.5" thickBot="1">
      <c r="A16" s="1"/>
      <c r="B16" s="17"/>
      <c r="C16" s="61" t="s">
        <v>20</v>
      </c>
      <c r="D16" s="62"/>
      <c r="E16" s="18"/>
      <c r="F16" s="62"/>
      <c r="G16" s="63"/>
      <c r="H16" s="1"/>
      <c r="I16" s="1"/>
      <c r="J16" s="32"/>
      <c r="K16" s="32"/>
      <c r="L16" s="32"/>
      <c r="M16" s="64"/>
      <c r="N16" s="65"/>
      <c r="O16" s="65"/>
      <c r="P16" s="66"/>
    </row>
    <row r="17" spans="1:16" ht="9" customHeight="1">
      <c r="A17" s="1">
        <v>140</v>
      </c>
      <c r="B17" s="117">
        <v>1</v>
      </c>
      <c r="C17" s="1" t="s">
        <v>21</v>
      </c>
      <c r="D17" s="113">
        <f aca="true" t="shared" si="0" ref="D17:D32">B17*A17</f>
        <v>140</v>
      </c>
      <c r="E17" s="114">
        <f>D17-F17</f>
        <v>66.26666666666665</v>
      </c>
      <c r="F17" s="113">
        <f>(I17-H17)/(I17+J17)*D17</f>
        <v>73.73333333333335</v>
      </c>
      <c r="G17" s="115">
        <v>0</v>
      </c>
      <c r="H17" s="1">
        <v>1.375</v>
      </c>
      <c r="I17" s="1">
        <f>I14</f>
        <v>3.35</v>
      </c>
      <c r="J17" s="1">
        <f>J14</f>
        <v>0.4</v>
      </c>
      <c r="K17" s="1"/>
      <c r="L17" s="1"/>
      <c r="M17" s="73">
        <f>D17*2.2046244201838</f>
        <v>308.647418825732</v>
      </c>
      <c r="N17" s="74">
        <f>E17*2.2046244201838</f>
        <v>146.09311157751313</v>
      </c>
      <c r="O17" s="74">
        <f>F17*2.2046244201838</f>
        <v>162.5543072482189</v>
      </c>
      <c r="P17" s="75">
        <f>G17*2.2046244201838</f>
        <v>0</v>
      </c>
    </row>
    <row r="18" spans="1:16" ht="9" customHeight="1">
      <c r="A18" s="1">
        <v>140</v>
      </c>
      <c r="B18" s="67">
        <v>0</v>
      </c>
      <c r="C18" s="68" t="s">
        <v>22</v>
      </c>
      <c r="D18" s="69">
        <f t="shared" si="0"/>
        <v>0</v>
      </c>
      <c r="E18" s="70">
        <v>0</v>
      </c>
      <c r="F18" s="69">
        <v>0</v>
      </c>
      <c r="G18" s="71">
        <f>D18</f>
        <v>0</v>
      </c>
      <c r="H18" s="72"/>
      <c r="I18" s="72">
        <f aca="true" t="shared" si="1" ref="I18:J31">I17</f>
        <v>3.35</v>
      </c>
      <c r="J18" s="1">
        <f t="shared" si="1"/>
        <v>0.4</v>
      </c>
      <c r="K18" s="1"/>
      <c r="L18" s="1"/>
      <c r="M18" s="73">
        <f>D18*2.2046244201838</f>
        <v>0</v>
      </c>
      <c r="N18" s="74">
        <f>E18*2.2046244201838</f>
        <v>0</v>
      </c>
      <c r="O18" s="74">
        <f>F18*2.2046244201838</f>
        <v>0</v>
      </c>
      <c r="P18" s="75">
        <f>G18*2.2046244201838</f>
        <v>0</v>
      </c>
    </row>
    <row r="19" spans="1:16" ht="9" customHeight="1">
      <c r="A19" s="1">
        <v>650</v>
      </c>
      <c r="B19" s="67">
        <v>0</v>
      </c>
      <c r="C19" s="68" t="s">
        <v>79</v>
      </c>
      <c r="D19" s="69">
        <f t="shared" si="0"/>
        <v>0</v>
      </c>
      <c r="E19" s="76">
        <v>0</v>
      </c>
      <c r="F19" s="77">
        <v>0</v>
      </c>
      <c r="G19" s="78">
        <f>D19</f>
        <v>0</v>
      </c>
      <c r="H19" s="72"/>
      <c r="I19" s="72">
        <f t="shared" si="1"/>
        <v>3.35</v>
      </c>
      <c r="J19" s="1">
        <f t="shared" si="1"/>
        <v>0.4</v>
      </c>
      <c r="K19" s="1"/>
      <c r="L19" s="1"/>
      <c r="M19" s="73">
        <f aca="true" t="shared" si="2" ref="M19:M42">D19*2.2046244201838</f>
        <v>0</v>
      </c>
      <c r="N19" s="74">
        <f aca="true" t="shared" si="3" ref="N19:N42">E19*2.2046244201838</f>
        <v>0</v>
      </c>
      <c r="O19" s="74">
        <f aca="true" t="shared" si="4" ref="O19:O42">F19*2.2046244201838</f>
        <v>0</v>
      </c>
      <c r="P19" s="75">
        <f aca="true" t="shared" si="5" ref="P19:P42">G19*2.2046244201838</f>
        <v>0</v>
      </c>
    </row>
    <row r="20" spans="1:16" ht="9" customHeight="1">
      <c r="A20" s="1">
        <v>340</v>
      </c>
      <c r="B20" s="67">
        <v>0</v>
      </c>
      <c r="C20" s="79" t="s">
        <v>23</v>
      </c>
      <c r="D20" s="69">
        <f t="shared" si="0"/>
        <v>0</v>
      </c>
      <c r="E20" s="76">
        <f>D20-F20</f>
        <v>0</v>
      </c>
      <c r="F20" s="77">
        <f>(I20-H20)/(I20+J20)*D20</f>
        <v>0</v>
      </c>
      <c r="G20" s="78">
        <v>0</v>
      </c>
      <c r="H20" s="72">
        <v>2.5268</v>
      </c>
      <c r="I20" s="72">
        <f t="shared" si="1"/>
        <v>3.35</v>
      </c>
      <c r="J20" s="1">
        <f t="shared" si="1"/>
        <v>0.4</v>
      </c>
      <c r="K20" s="1"/>
      <c r="L20" s="1"/>
      <c r="M20" s="73">
        <f t="shared" si="2"/>
        <v>0</v>
      </c>
      <c r="N20" s="74">
        <f t="shared" si="3"/>
        <v>0</v>
      </c>
      <c r="O20" s="74">
        <f t="shared" si="4"/>
        <v>0</v>
      </c>
      <c r="P20" s="75">
        <f t="shared" si="5"/>
        <v>0</v>
      </c>
    </row>
    <row r="21" spans="1:16" ht="9" customHeight="1">
      <c r="A21" s="1">
        <v>700</v>
      </c>
      <c r="B21" s="67">
        <v>1</v>
      </c>
      <c r="C21" s="68" t="s">
        <v>24</v>
      </c>
      <c r="D21" s="69">
        <f t="shared" si="0"/>
        <v>700</v>
      </c>
      <c r="E21" s="70">
        <f>D21-F21</f>
        <v>733.4133333333333</v>
      </c>
      <c r="F21" s="69">
        <f>(I21-H21)/(I21+J21)*D21</f>
        <v>-33.4133333333333</v>
      </c>
      <c r="G21" s="71">
        <v>0</v>
      </c>
      <c r="H21" s="72">
        <v>3.529</v>
      </c>
      <c r="I21" s="72">
        <f t="shared" si="1"/>
        <v>3.35</v>
      </c>
      <c r="J21" s="1">
        <f t="shared" si="1"/>
        <v>0.4</v>
      </c>
      <c r="K21" s="1"/>
      <c r="L21" s="1"/>
      <c r="M21" s="73">
        <f t="shared" si="2"/>
        <v>1543.2370941286601</v>
      </c>
      <c r="N21" s="74">
        <f t="shared" si="3"/>
        <v>1616.900944755068</v>
      </c>
      <c r="O21" s="74">
        <f t="shared" si="4"/>
        <v>-73.66385062640796</v>
      </c>
      <c r="P21" s="75">
        <f t="shared" si="5"/>
        <v>0</v>
      </c>
    </row>
    <row r="22" spans="1:16" ht="9" customHeight="1">
      <c r="A22" s="1">
        <v>60</v>
      </c>
      <c r="B22" s="67">
        <v>1</v>
      </c>
      <c r="C22" s="68" t="s">
        <v>84</v>
      </c>
      <c r="D22" s="69">
        <f t="shared" si="0"/>
        <v>60</v>
      </c>
      <c r="E22" s="70">
        <f>(D22-G22)*(E71+J22)/(I22+J22)</f>
        <v>-1.0666666666666729</v>
      </c>
      <c r="F22" s="69">
        <f>D22-E22-G22</f>
        <v>-0.4717948717948772</v>
      </c>
      <c r="G22" s="71">
        <f>(H22+E71)/E70*D22</f>
        <v>61.53846153846155</v>
      </c>
      <c r="H22" s="80">
        <v>7.4</v>
      </c>
      <c r="I22" s="72">
        <f t="shared" si="1"/>
        <v>3.35</v>
      </c>
      <c r="J22" s="1">
        <f t="shared" si="1"/>
        <v>0.4</v>
      </c>
      <c r="K22" s="1"/>
      <c r="L22" s="1"/>
      <c r="M22" s="73">
        <f t="shared" si="2"/>
        <v>132.27746521102802</v>
      </c>
      <c r="N22" s="74">
        <f t="shared" si="3"/>
        <v>-2.3515993815294003</v>
      </c>
      <c r="O22" s="74">
        <f t="shared" si="4"/>
        <v>-1.0401304956764714</v>
      </c>
      <c r="P22" s="75">
        <f t="shared" si="5"/>
        <v>135.66919508823386</v>
      </c>
    </row>
    <row r="23" spans="1:16" ht="9" customHeight="1">
      <c r="A23" s="1">
        <v>65</v>
      </c>
      <c r="B23" s="67">
        <v>1</v>
      </c>
      <c r="C23" s="68" t="s">
        <v>25</v>
      </c>
      <c r="D23" s="69">
        <f t="shared" si="0"/>
        <v>65</v>
      </c>
      <c r="E23" s="70">
        <f>(D23-G23)*(E71+J23)/(I23+J23)</f>
        <v>10.448148148148146</v>
      </c>
      <c r="F23" s="69">
        <f>D23-E23-G23</f>
        <v>4.621296296296293</v>
      </c>
      <c r="G23" s="71">
        <f>(H23+E71)/E70*D23</f>
        <v>49.93055555555556</v>
      </c>
      <c r="H23" s="80">
        <v>4.99</v>
      </c>
      <c r="I23" s="72">
        <f t="shared" si="1"/>
        <v>3.35</v>
      </c>
      <c r="J23" s="1">
        <f t="shared" si="1"/>
        <v>0.4</v>
      </c>
      <c r="K23" s="1"/>
      <c r="L23" s="1"/>
      <c r="M23" s="73">
        <f t="shared" si="2"/>
        <v>143.300587311947</v>
      </c>
      <c r="N23" s="74">
        <f t="shared" si="3"/>
        <v>23.03424255310555</v>
      </c>
      <c r="O23" s="74">
        <f t="shared" si="4"/>
        <v>10.188222667719758</v>
      </c>
      <c r="P23" s="75">
        <f t="shared" si="5"/>
        <v>110.07812209112168</v>
      </c>
    </row>
    <row r="24" spans="1:16" ht="9" customHeight="1">
      <c r="A24" s="1">
        <v>675</v>
      </c>
      <c r="B24" s="67">
        <v>0</v>
      </c>
      <c r="C24" s="68" t="s">
        <v>86</v>
      </c>
      <c r="D24" s="69">
        <f t="shared" si="0"/>
        <v>0</v>
      </c>
      <c r="E24" s="70">
        <f>(D24-G24)*(E71+J24)/(I24+J24)</f>
        <v>0</v>
      </c>
      <c r="F24" s="69">
        <f>D24-E24-G24</f>
        <v>0</v>
      </c>
      <c r="G24" s="71">
        <f>(H24+E71)/E70*D24</f>
        <v>0</v>
      </c>
      <c r="H24" s="80">
        <v>5.421</v>
      </c>
      <c r="I24" s="81">
        <f t="shared" si="1"/>
        <v>3.35</v>
      </c>
      <c r="J24" s="1">
        <f t="shared" si="1"/>
        <v>0.4</v>
      </c>
      <c r="K24" s="1"/>
      <c r="L24" s="1"/>
      <c r="M24" s="73">
        <f t="shared" si="2"/>
        <v>0</v>
      </c>
      <c r="N24" s="74">
        <f t="shared" si="3"/>
        <v>0</v>
      </c>
      <c r="O24" s="74">
        <f t="shared" si="4"/>
        <v>0</v>
      </c>
      <c r="P24" s="75">
        <f t="shared" si="5"/>
        <v>0</v>
      </c>
    </row>
    <row r="25" spans="1:16" ht="9" customHeight="1">
      <c r="A25" s="1">
        <v>885</v>
      </c>
      <c r="B25" s="67">
        <v>1</v>
      </c>
      <c r="C25" s="79" t="s">
        <v>87</v>
      </c>
      <c r="D25" s="69">
        <f>B25*A25</f>
        <v>885</v>
      </c>
      <c r="E25" s="70">
        <f>(D25-G25)*(E71+J25)/(I25+J25)</f>
        <v>182.83444444444447</v>
      </c>
      <c r="F25" s="69">
        <f>D25-E25-G25</f>
        <v>80.86908119658119</v>
      </c>
      <c r="G25" s="71">
        <f>(H25+E71)/E70*D25</f>
        <v>621.2964743589744</v>
      </c>
      <c r="H25" s="80">
        <v>4.371</v>
      </c>
      <c r="I25" s="72">
        <f t="shared" si="1"/>
        <v>3.35</v>
      </c>
      <c r="J25" s="1">
        <f t="shared" si="1"/>
        <v>0.4</v>
      </c>
      <c r="K25" s="1"/>
      <c r="L25" s="1"/>
      <c r="M25" s="73">
        <f t="shared" si="2"/>
        <v>1951.092611862663</v>
      </c>
      <c r="N25" s="74">
        <f t="shared" si="3"/>
        <v>403.0812810729606</v>
      </c>
      <c r="O25" s="74">
        <f t="shared" si="4"/>
        <v>178.28595124380945</v>
      </c>
      <c r="P25" s="75">
        <f t="shared" si="5"/>
        <v>1369.725379545893</v>
      </c>
    </row>
    <row r="26" spans="1:16" ht="9" customHeight="1">
      <c r="A26" s="1">
        <v>40</v>
      </c>
      <c r="B26" s="67">
        <v>1</v>
      </c>
      <c r="C26" s="82" t="s">
        <v>26</v>
      </c>
      <c r="D26" s="69">
        <f t="shared" si="0"/>
        <v>40</v>
      </c>
      <c r="E26" s="70">
        <f>D26-F26</f>
        <v>25.599999999999998</v>
      </c>
      <c r="F26" s="69">
        <f>(I26-H26)/(I26+J26)*D26</f>
        <v>14.400000000000002</v>
      </c>
      <c r="G26" s="71">
        <v>0</v>
      </c>
      <c r="H26" s="80">
        <v>2</v>
      </c>
      <c r="I26" s="81">
        <f t="shared" si="1"/>
        <v>3.35</v>
      </c>
      <c r="J26" s="1">
        <f t="shared" si="1"/>
        <v>0.4</v>
      </c>
      <c r="K26" s="1"/>
      <c r="L26" s="1"/>
      <c r="M26" s="73">
        <f t="shared" si="2"/>
        <v>88.184976807352</v>
      </c>
      <c r="N26" s="74">
        <f t="shared" si="3"/>
        <v>56.43838515670528</v>
      </c>
      <c r="O26" s="74">
        <f t="shared" si="4"/>
        <v>31.746591650646728</v>
      </c>
      <c r="P26" s="75">
        <f t="shared" si="5"/>
        <v>0</v>
      </c>
    </row>
    <row r="27" spans="1:16" ht="9" customHeight="1">
      <c r="A27" s="1">
        <v>480</v>
      </c>
      <c r="B27" s="67">
        <v>1</v>
      </c>
      <c r="C27" s="79" t="s">
        <v>27</v>
      </c>
      <c r="D27" s="69">
        <f t="shared" si="0"/>
        <v>480</v>
      </c>
      <c r="E27" s="70">
        <f>D27-F27</f>
        <v>240</v>
      </c>
      <c r="F27" s="69">
        <f>(I27-H27)/(I27+J27)*D27</f>
        <v>240</v>
      </c>
      <c r="G27" s="71">
        <v>0</v>
      </c>
      <c r="H27" s="80">
        <v>1.475</v>
      </c>
      <c r="I27" s="81">
        <f t="shared" si="1"/>
        <v>3.35</v>
      </c>
      <c r="J27" s="1">
        <f t="shared" si="1"/>
        <v>0.4</v>
      </c>
      <c r="K27" s="1"/>
      <c r="L27" s="1"/>
      <c r="M27" s="73">
        <f t="shared" si="2"/>
        <v>1058.2197216882241</v>
      </c>
      <c r="N27" s="74">
        <f t="shared" si="3"/>
        <v>529.1098608441121</v>
      </c>
      <c r="O27" s="74">
        <f t="shared" si="4"/>
        <v>529.1098608441121</v>
      </c>
      <c r="P27" s="75">
        <f t="shared" si="5"/>
        <v>0</v>
      </c>
    </row>
    <row r="28" spans="1:16" ht="9" customHeight="1">
      <c r="A28" s="1">
        <v>816</v>
      </c>
      <c r="B28" s="67">
        <v>0</v>
      </c>
      <c r="C28" s="79" t="s">
        <v>28</v>
      </c>
      <c r="D28" s="69">
        <f t="shared" si="0"/>
        <v>0</v>
      </c>
      <c r="E28" s="70">
        <f>D28-F28</f>
        <v>0</v>
      </c>
      <c r="F28" s="69">
        <f>(I28-H28)/(I28+J28)*D28</f>
        <v>0</v>
      </c>
      <c r="G28" s="71">
        <v>0</v>
      </c>
      <c r="H28" s="80">
        <v>1.475</v>
      </c>
      <c r="I28" s="81">
        <f t="shared" si="1"/>
        <v>3.35</v>
      </c>
      <c r="J28" s="1">
        <f t="shared" si="1"/>
        <v>0.4</v>
      </c>
      <c r="K28" s="1"/>
      <c r="L28" s="1"/>
      <c r="M28" s="73">
        <f t="shared" si="2"/>
        <v>0</v>
      </c>
      <c r="N28" s="74">
        <f t="shared" si="3"/>
        <v>0</v>
      </c>
      <c r="O28" s="74">
        <f t="shared" si="4"/>
        <v>0</v>
      </c>
      <c r="P28" s="75">
        <f t="shared" si="5"/>
        <v>0</v>
      </c>
    </row>
    <row r="29" spans="1:16" ht="9" customHeight="1">
      <c r="A29" s="1">
        <v>240</v>
      </c>
      <c r="B29" s="67">
        <v>0</v>
      </c>
      <c r="C29" s="82" t="s">
        <v>29</v>
      </c>
      <c r="D29" s="69">
        <f t="shared" si="0"/>
        <v>0</v>
      </c>
      <c r="E29" s="70">
        <v>0</v>
      </c>
      <c r="F29" s="69">
        <v>0</v>
      </c>
      <c r="G29" s="71">
        <f>D29</f>
        <v>0</v>
      </c>
      <c r="H29" s="80"/>
      <c r="I29" s="81">
        <f t="shared" si="1"/>
        <v>3.35</v>
      </c>
      <c r="J29" s="1">
        <f t="shared" si="1"/>
        <v>0.4</v>
      </c>
      <c r="K29" s="1"/>
      <c r="L29" s="1"/>
      <c r="M29" s="73">
        <f t="shared" si="2"/>
        <v>0</v>
      </c>
      <c r="N29" s="74">
        <f t="shared" si="3"/>
        <v>0</v>
      </c>
      <c r="O29" s="74">
        <f t="shared" si="4"/>
        <v>0</v>
      </c>
      <c r="P29" s="75">
        <f t="shared" si="5"/>
        <v>0</v>
      </c>
    </row>
    <row r="30" spans="1:16" ht="9" customHeight="1">
      <c r="A30" s="1">
        <v>300</v>
      </c>
      <c r="B30" s="67">
        <v>0</v>
      </c>
      <c r="C30" s="68" t="s">
        <v>30</v>
      </c>
      <c r="D30" s="69">
        <f t="shared" si="0"/>
        <v>0</v>
      </c>
      <c r="E30" s="70">
        <v>0</v>
      </c>
      <c r="F30" s="69">
        <v>0</v>
      </c>
      <c r="G30" s="71">
        <f>D30</f>
        <v>0</v>
      </c>
      <c r="H30" s="80"/>
      <c r="I30" s="72">
        <f t="shared" si="1"/>
        <v>3.35</v>
      </c>
      <c r="J30" s="1">
        <f t="shared" si="1"/>
        <v>0.4</v>
      </c>
      <c r="K30" s="1"/>
      <c r="L30" s="1"/>
      <c r="M30" s="73">
        <f t="shared" si="2"/>
        <v>0</v>
      </c>
      <c r="N30" s="74">
        <f t="shared" si="3"/>
        <v>0</v>
      </c>
      <c r="O30" s="74">
        <f t="shared" si="4"/>
        <v>0</v>
      </c>
      <c r="P30" s="75">
        <f t="shared" si="5"/>
        <v>0</v>
      </c>
    </row>
    <row r="31" spans="1:16" ht="9" customHeight="1">
      <c r="A31" s="1">
        <v>342</v>
      </c>
      <c r="B31" s="67">
        <v>0</v>
      </c>
      <c r="C31" s="68" t="s">
        <v>31</v>
      </c>
      <c r="D31" s="69">
        <f t="shared" si="0"/>
        <v>0</v>
      </c>
      <c r="E31" s="70">
        <v>0</v>
      </c>
      <c r="F31" s="69">
        <v>0</v>
      </c>
      <c r="G31" s="71">
        <f>D31</f>
        <v>0</v>
      </c>
      <c r="H31" s="80"/>
      <c r="I31" s="72">
        <f t="shared" si="1"/>
        <v>3.35</v>
      </c>
      <c r="J31" s="1">
        <f t="shared" si="1"/>
        <v>0.4</v>
      </c>
      <c r="K31" s="1"/>
      <c r="L31" s="1"/>
      <c r="M31" s="73">
        <f t="shared" si="2"/>
        <v>0</v>
      </c>
      <c r="N31" s="74">
        <f t="shared" si="3"/>
        <v>0</v>
      </c>
      <c r="O31" s="74">
        <f t="shared" si="4"/>
        <v>0</v>
      </c>
      <c r="P31" s="75">
        <f t="shared" si="5"/>
        <v>0</v>
      </c>
    </row>
    <row r="32" spans="1:16" ht="9" customHeight="1">
      <c r="A32" s="1">
        <v>608</v>
      </c>
      <c r="B32" s="67">
        <v>0</v>
      </c>
      <c r="C32" s="68" t="s">
        <v>80</v>
      </c>
      <c r="D32" s="69">
        <f t="shared" si="0"/>
        <v>0</v>
      </c>
      <c r="E32" s="70">
        <f>D32-F32</f>
        <v>0</v>
      </c>
      <c r="F32" s="69">
        <f>(I32-H32)/(I32+J32)*D32</f>
        <v>0</v>
      </c>
      <c r="G32" s="71">
        <v>0</v>
      </c>
      <c r="H32" s="80">
        <v>3.17</v>
      </c>
      <c r="I32" s="72">
        <f>I30</f>
        <v>3.35</v>
      </c>
      <c r="J32" s="1">
        <f>J30</f>
        <v>0.4</v>
      </c>
      <c r="K32" s="1"/>
      <c r="L32" s="1"/>
      <c r="M32" s="73">
        <f t="shared" si="2"/>
        <v>0</v>
      </c>
      <c r="N32" s="74">
        <f t="shared" si="3"/>
        <v>0</v>
      </c>
      <c r="O32" s="74">
        <f t="shared" si="4"/>
        <v>0</v>
      </c>
      <c r="P32" s="75">
        <f t="shared" si="5"/>
        <v>0</v>
      </c>
    </row>
    <row r="33" spans="1:16" ht="9" customHeight="1">
      <c r="A33" s="1">
        <v>1460</v>
      </c>
      <c r="B33" s="67">
        <v>1</v>
      </c>
      <c r="C33" s="68" t="s">
        <v>89</v>
      </c>
      <c r="D33" s="69">
        <f>B33*A33</f>
        <v>1460</v>
      </c>
      <c r="E33" s="70">
        <f>D33-F33</f>
        <v>1311.2746666666667</v>
      </c>
      <c r="F33" s="69">
        <f>(I33-H33)/(I33+J33)*D33</f>
        <v>148.7253333333334</v>
      </c>
      <c r="G33" s="71">
        <v>0</v>
      </c>
      <c r="H33" s="80">
        <v>2.968</v>
      </c>
      <c r="I33" s="72">
        <f>I31</f>
        <v>3.35</v>
      </c>
      <c r="J33" s="1">
        <f>J31</f>
        <v>0.4</v>
      </c>
      <c r="K33" s="1"/>
      <c r="L33" s="1"/>
      <c r="M33" s="73">
        <f t="shared" si="2"/>
        <v>3218.751653468348</v>
      </c>
      <c r="N33" s="74">
        <f t="shared" si="3"/>
        <v>2890.8681517017058</v>
      </c>
      <c r="O33" s="74">
        <f t="shared" si="4"/>
        <v>327.88350176664255</v>
      </c>
      <c r="P33" s="75">
        <f t="shared" si="5"/>
        <v>0</v>
      </c>
    </row>
    <row r="34" spans="1:16" ht="9" customHeight="1">
      <c r="A34" s="1"/>
      <c r="B34" s="67">
        <v>0</v>
      </c>
      <c r="C34" s="68" t="s">
        <v>85</v>
      </c>
      <c r="D34" s="69">
        <f>B34*1000</f>
        <v>0</v>
      </c>
      <c r="E34" s="70">
        <f>D34-F34</f>
        <v>0</v>
      </c>
      <c r="F34" s="69">
        <f>(I34-H34)/(I34+J34)*D34</f>
        <v>0</v>
      </c>
      <c r="G34" s="71">
        <v>0</v>
      </c>
      <c r="H34" s="80">
        <v>2.968</v>
      </c>
      <c r="I34" s="72">
        <f>I31</f>
        <v>3.35</v>
      </c>
      <c r="J34" s="1">
        <f>J31</f>
        <v>0.4</v>
      </c>
      <c r="K34" s="1"/>
      <c r="L34" s="1"/>
      <c r="M34" s="73">
        <f t="shared" si="2"/>
        <v>0</v>
      </c>
      <c r="N34" s="74">
        <f t="shared" si="3"/>
        <v>0</v>
      </c>
      <c r="O34" s="74">
        <f t="shared" si="4"/>
        <v>0</v>
      </c>
      <c r="P34" s="75">
        <f t="shared" si="5"/>
        <v>0</v>
      </c>
    </row>
    <row r="35" spans="1:16" ht="9" customHeight="1">
      <c r="A35" s="1">
        <v>-1300</v>
      </c>
      <c r="B35" s="67">
        <v>0</v>
      </c>
      <c r="C35" s="68" t="s">
        <v>32</v>
      </c>
      <c r="D35" s="69">
        <f>B35*A35</f>
        <v>0</v>
      </c>
      <c r="E35" s="70">
        <f>D35-F35</f>
        <v>0</v>
      </c>
      <c r="F35" s="69">
        <f>(I35-H35)/(I35+J35)*D35</f>
        <v>0</v>
      </c>
      <c r="G35" s="71">
        <v>0</v>
      </c>
      <c r="H35" s="80">
        <v>5.425</v>
      </c>
      <c r="I35" s="72">
        <f>I34</f>
        <v>3.35</v>
      </c>
      <c r="J35" s="1">
        <f>J34</f>
        <v>0.4</v>
      </c>
      <c r="K35" s="1"/>
      <c r="L35" s="1"/>
      <c r="M35" s="73">
        <f t="shared" si="2"/>
        <v>0</v>
      </c>
      <c r="N35" s="74">
        <f t="shared" si="3"/>
        <v>0</v>
      </c>
      <c r="O35" s="74">
        <f t="shared" si="4"/>
        <v>0</v>
      </c>
      <c r="P35" s="75">
        <f t="shared" si="5"/>
        <v>0</v>
      </c>
    </row>
    <row r="36" spans="1:16" ht="9" customHeight="1">
      <c r="A36" s="1">
        <v>-1440</v>
      </c>
      <c r="B36" s="67">
        <v>0</v>
      </c>
      <c r="C36" s="68" t="s">
        <v>33</v>
      </c>
      <c r="D36" s="69">
        <f>B36*A36</f>
        <v>0</v>
      </c>
      <c r="E36" s="76">
        <f>D36-F36</f>
        <v>0</v>
      </c>
      <c r="F36" s="77">
        <f>(I36-H36)/(I36+J36)*D36</f>
        <v>0</v>
      </c>
      <c r="G36" s="78">
        <v>0</v>
      </c>
      <c r="H36" s="80">
        <v>-2.675</v>
      </c>
      <c r="I36" s="72">
        <f>I35</f>
        <v>3.35</v>
      </c>
      <c r="J36" s="1">
        <f>J35</f>
        <v>0.4</v>
      </c>
      <c r="K36" s="1"/>
      <c r="L36" s="1"/>
      <c r="M36" s="73">
        <f t="shared" si="2"/>
        <v>0</v>
      </c>
      <c r="N36" s="74">
        <f t="shared" si="3"/>
        <v>0</v>
      </c>
      <c r="O36" s="74">
        <f t="shared" si="4"/>
        <v>0</v>
      </c>
      <c r="P36" s="75">
        <f t="shared" si="5"/>
        <v>0</v>
      </c>
    </row>
    <row r="37" spans="1:16" ht="9" customHeight="1">
      <c r="A37" s="1"/>
      <c r="B37" s="67">
        <v>0</v>
      </c>
      <c r="C37" s="68" t="s">
        <v>34</v>
      </c>
      <c r="D37" s="69">
        <v>0</v>
      </c>
      <c r="E37" s="76">
        <f>G37*(J37+E71)/(I37+J37)*(-1)</f>
        <v>0</v>
      </c>
      <c r="F37" s="77">
        <f>(G37+E37)*(-1)</f>
        <v>0</v>
      </c>
      <c r="G37" s="78">
        <f>E68*B37*0.686/E70*1000</f>
        <v>0</v>
      </c>
      <c r="H37" s="80"/>
      <c r="I37" s="72">
        <f>I35</f>
        <v>3.35</v>
      </c>
      <c r="J37" s="1">
        <f>J35</f>
        <v>0.4</v>
      </c>
      <c r="K37" s="1"/>
      <c r="L37" s="1"/>
      <c r="M37" s="73">
        <f t="shared" si="2"/>
        <v>0</v>
      </c>
      <c r="N37" s="74">
        <f t="shared" si="3"/>
        <v>0</v>
      </c>
      <c r="O37" s="74">
        <f t="shared" si="4"/>
        <v>0</v>
      </c>
      <c r="P37" s="75">
        <f t="shared" si="5"/>
        <v>0</v>
      </c>
    </row>
    <row r="38" spans="1:16" ht="9" customHeight="1">
      <c r="A38" s="1"/>
      <c r="B38" s="116"/>
      <c r="C38" s="68" t="s">
        <v>35</v>
      </c>
      <c r="D38" s="69"/>
      <c r="E38" s="76"/>
      <c r="F38" s="77"/>
      <c r="G38" s="78"/>
      <c r="H38" s="80"/>
      <c r="I38" s="72">
        <f aca="true" t="shared" si="6" ref="I38:J40">I37</f>
        <v>3.35</v>
      </c>
      <c r="J38" s="1">
        <f t="shared" si="6"/>
        <v>0.4</v>
      </c>
      <c r="K38" s="1"/>
      <c r="L38" s="1"/>
      <c r="M38" s="73">
        <f t="shared" si="2"/>
        <v>0</v>
      </c>
      <c r="N38" s="74">
        <f t="shared" si="3"/>
        <v>0</v>
      </c>
      <c r="O38" s="74">
        <f t="shared" si="4"/>
        <v>0</v>
      </c>
      <c r="P38" s="75">
        <f t="shared" si="5"/>
        <v>0</v>
      </c>
    </row>
    <row r="39" spans="1:16" ht="9" customHeight="1">
      <c r="A39" s="1">
        <v>1.445</v>
      </c>
      <c r="B39" s="67">
        <v>0</v>
      </c>
      <c r="C39" s="79" t="s">
        <v>81</v>
      </c>
      <c r="D39" s="69">
        <v>0</v>
      </c>
      <c r="E39" s="70">
        <f>(E70-E71-J39)*G39/(I39+J39)</f>
        <v>0</v>
      </c>
      <c r="F39" s="69">
        <f>(E39+G39)*(-1)</f>
        <v>0</v>
      </c>
      <c r="G39" s="71">
        <f>A39/E70*B39*1000*(-1)</f>
        <v>0</v>
      </c>
      <c r="H39" s="80"/>
      <c r="I39" s="72">
        <f t="shared" si="6"/>
        <v>3.35</v>
      </c>
      <c r="J39" s="1">
        <f t="shared" si="6"/>
        <v>0.4</v>
      </c>
      <c r="K39" s="1"/>
      <c r="L39" s="1"/>
      <c r="M39" s="73">
        <f t="shared" si="2"/>
        <v>0</v>
      </c>
      <c r="N39" s="74">
        <f t="shared" si="3"/>
        <v>0</v>
      </c>
      <c r="O39" s="74">
        <f t="shared" si="4"/>
        <v>0</v>
      </c>
      <c r="P39" s="75">
        <f t="shared" si="5"/>
        <v>0</v>
      </c>
    </row>
    <row r="40" spans="1:16" ht="9" customHeight="1">
      <c r="A40" s="1">
        <v>1.445</v>
      </c>
      <c r="B40" s="67">
        <v>0</v>
      </c>
      <c r="C40" s="68" t="s">
        <v>82</v>
      </c>
      <c r="D40" s="69">
        <v>0</v>
      </c>
      <c r="E40" s="70">
        <f>(E70-E71-J40)*G40/(I40+J40)</f>
        <v>0</v>
      </c>
      <c r="F40" s="69">
        <f>(E40+G40)*(-1)</f>
        <v>0</v>
      </c>
      <c r="G40" s="71">
        <f>A40/E70*B40*1000</f>
        <v>0</v>
      </c>
      <c r="H40" s="80"/>
      <c r="I40" s="72">
        <f t="shared" si="6"/>
        <v>3.35</v>
      </c>
      <c r="J40" s="1">
        <f t="shared" si="6"/>
        <v>0.4</v>
      </c>
      <c r="K40" s="1"/>
      <c r="L40" s="1"/>
      <c r="M40" s="73">
        <f t="shared" si="2"/>
        <v>0</v>
      </c>
      <c r="N40" s="74">
        <f t="shared" si="3"/>
        <v>0</v>
      </c>
      <c r="O40" s="74">
        <f t="shared" si="4"/>
        <v>0</v>
      </c>
      <c r="P40" s="75">
        <f t="shared" si="5"/>
        <v>0</v>
      </c>
    </row>
    <row r="41" spans="1:16" ht="9" customHeight="1">
      <c r="A41" s="1"/>
      <c r="B41" s="116"/>
      <c r="C41" s="68" t="s">
        <v>36</v>
      </c>
      <c r="D41" s="69"/>
      <c r="E41" s="70"/>
      <c r="F41" s="69"/>
      <c r="G41" s="71"/>
      <c r="H41" s="80"/>
      <c r="I41" s="72"/>
      <c r="J41" s="1"/>
      <c r="K41" s="1"/>
      <c r="L41" s="1"/>
      <c r="M41" s="73">
        <f t="shared" si="2"/>
        <v>0</v>
      </c>
      <c r="N41" s="74">
        <f t="shared" si="3"/>
        <v>0</v>
      </c>
      <c r="O41" s="74">
        <f t="shared" si="4"/>
        <v>0</v>
      </c>
      <c r="P41" s="75">
        <f t="shared" si="5"/>
        <v>0</v>
      </c>
    </row>
    <row r="42" spans="1:16" ht="9" customHeight="1" thickBot="1">
      <c r="A42" s="1"/>
      <c r="B42" s="116"/>
      <c r="C42" s="68" t="s">
        <v>37</v>
      </c>
      <c r="D42" s="69"/>
      <c r="E42" s="70"/>
      <c r="F42" s="69"/>
      <c r="G42" s="71"/>
      <c r="H42" s="80"/>
      <c r="I42" s="72"/>
      <c r="J42" s="1"/>
      <c r="K42" s="1"/>
      <c r="L42" s="1"/>
      <c r="M42" s="83">
        <f t="shared" si="2"/>
        <v>0</v>
      </c>
      <c r="N42" s="84">
        <f t="shared" si="3"/>
        <v>0</v>
      </c>
      <c r="O42" s="84">
        <f t="shared" si="4"/>
        <v>0</v>
      </c>
      <c r="P42" s="85">
        <f t="shared" si="5"/>
        <v>0</v>
      </c>
    </row>
    <row r="43" spans="1:16" ht="9" customHeight="1">
      <c r="A43" s="1"/>
      <c r="B43" s="22"/>
      <c r="C43" s="3" t="s">
        <v>0</v>
      </c>
      <c r="D43" s="86"/>
      <c r="E43" s="3"/>
      <c r="F43" s="86"/>
      <c r="G43" s="23"/>
      <c r="H43" s="80"/>
      <c r="I43" s="72"/>
      <c r="J43" s="1"/>
      <c r="K43" s="1"/>
      <c r="L43" s="1"/>
      <c r="M43" s="98"/>
      <c r="N43" s="98"/>
      <c r="O43" s="98"/>
      <c r="P43" s="98"/>
    </row>
    <row r="44" spans="1:16" ht="9" customHeight="1">
      <c r="A44" s="1"/>
      <c r="B44" s="10"/>
      <c r="C44" s="52" t="s">
        <v>38</v>
      </c>
      <c r="D44" s="87">
        <f>SUM(D14:D41)</f>
        <v>42871</v>
      </c>
      <c r="E44" s="87">
        <f>SUM(E14:E41)</f>
        <v>20652.45911111111</v>
      </c>
      <c r="F44" s="87">
        <f>SUM(F14:F41)</f>
        <v>12459.438645299144</v>
      </c>
      <c r="G44" s="88">
        <f>SUM(G14:G41)</f>
        <v>9759.102243589743</v>
      </c>
      <c r="H44" s="72"/>
      <c r="I44" s="72"/>
      <c r="J44" s="1"/>
      <c r="K44" s="1"/>
      <c r="L44" s="1"/>
      <c r="M44" s="98"/>
      <c r="N44" s="98"/>
      <c r="O44" s="98"/>
      <c r="P44" s="98"/>
    </row>
    <row r="45" spans="1:16" ht="9" customHeight="1" thickBot="1">
      <c r="A45" s="1"/>
      <c r="B45" s="17"/>
      <c r="C45" s="89" t="s">
        <v>39</v>
      </c>
      <c r="D45" s="90">
        <f>D44*2.2045855</f>
        <v>94512.7849705</v>
      </c>
      <c r="E45" s="90">
        <f>E44*2.2045855</f>
        <v>45530.11189569844</v>
      </c>
      <c r="F45" s="90">
        <f>F44*2.2045855</f>
        <v>27467.897775566133</v>
      </c>
      <c r="G45" s="91">
        <f>G44*2.2045855</f>
        <v>21514.775299235414</v>
      </c>
      <c r="H45" s="72"/>
      <c r="I45" s="72"/>
      <c r="J45" s="1"/>
      <c r="K45" s="1"/>
      <c r="L45" s="1"/>
      <c r="M45" s="98"/>
      <c r="N45" s="98"/>
      <c r="O45" s="98"/>
      <c r="P45" s="98"/>
    </row>
    <row r="46" spans="1:16" ht="12" customHeight="1">
      <c r="A46" s="1"/>
      <c r="B46" s="22"/>
      <c r="C46" s="92" t="s">
        <v>40</v>
      </c>
      <c r="D46" s="93">
        <f>E44/2000</f>
        <v>10.326229555555555</v>
      </c>
      <c r="E46" s="94">
        <f aca="true" t="shared" si="7" ref="E46:E51">D46*2204.5855</f>
        <v>22765.05594784922</v>
      </c>
      <c r="F46" s="95" t="s">
        <v>41</v>
      </c>
      <c r="G46" s="23"/>
      <c r="H46" s="72"/>
      <c r="I46" s="72"/>
      <c r="J46" s="1"/>
      <c r="K46" s="1"/>
      <c r="L46" s="1"/>
      <c r="M46" s="98"/>
      <c r="N46" s="98"/>
      <c r="O46" s="98"/>
      <c r="P46" s="98"/>
    </row>
    <row r="47" spans="1:16" ht="12" customHeight="1">
      <c r="A47" s="1"/>
      <c r="B47" s="10"/>
      <c r="C47" s="96" t="s">
        <v>42</v>
      </c>
      <c r="D47" s="97">
        <f>E44/2000</f>
        <v>10.326229555555555</v>
      </c>
      <c r="E47" s="98">
        <f t="shared" si="7"/>
        <v>22765.05594784922</v>
      </c>
      <c r="F47" s="99" t="s">
        <v>43</v>
      </c>
      <c r="G47" s="100">
        <v>1.65</v>
      </c>
      <c r="H47" s="72"/>
      <c r="I47" s="72"/>
      <c r="J47" s="1"/>
      <c r="K47" s="1"/>
      <c r="L47" s="1"/>
      <c r="M47" s="98"/>
      <c r="N47" s="98"/>
      <c r="O47" s="98"/>
      <c r="P47" s="98"/>
    </row>
    <row r="48" spans="1:16" ht="12" customHeight="1">
      <c r="A48" s="1"/>
      <c r="B48" s="10"/>
      <c r="C48" s="96" t="s">
        <v>44</v>
      </c>
      <c r="D48" s="97">
        <f>F44/2000</f>
        <v>6.229719322649572</v>
      </c>
      <c r="E48" s="98">
        <f t="shared" si="7"/>
        <v>13733.94888778307</v>
      </c>
      <c r="F48" s="99" t="s">
        <v>45</v>
      </c>
      <c r="G48" s="100">
        <v>2.1</v>
      </c>
      <c r="H48" s="1"/>
      <c r="I48" s="1"/>
      <c r="J48" s="1"/>
      <c r="K48" s="1"/>
      <c r="L48" s="1"/>
      <c r="M48" s="98"/>
      <c r="N48" s="98"/>
      <c r="O48" s="98"/>
      <c r="P48" s="98"/>
    </row>
    <row r="49" spans="1:16" ht="12" customHeight="1">
      <c r="A49" s="1"/>
      <c r="B49" s="10"/>
      <c r="C49" s="96" t="s">
        <v>46</v>
      </c>
      <c r="D49" s="97">
        <f>F44/2000</f>
        <v>6.229719322649572</v>
      </c>
      <c r="E49" s="98">
        <f t="shared" si="7"/>
        <v>13733.94888778307</v>
      </c>
      <c r="F49" s="99" t="s">
        <v>47</v>
      </c>
      <c r="G49" s="100">
        <v>1.65</v>
      </c>
      <c r="H49" s="1"/>
      <c r="I49" s="1"/>
      <c r="J49" s="1"/>
      <c r="K49" s="1"/>
      <c r="L49" s="1"/>
      <c r="M49" s="98"/>
      <c r="N49" s="98"/>
      <c r="O49" s="98"/>
      <c r="P49" s="98"/>
    </row>
    <row r="50" spans="1:13" ht="12" customHeight="1">
      <c r="A50" s="1"/>
      <c r="B50" s="10"/>
      <c r="C50" s="96" t="s">
        <v>48</v>
      </c>
      <c r="D50" s="97">
        <f>G44/2000</f>
        <v>4.879551121794871</v>
      </c>
      <c r="E50" s="98">
        <f t="shared" si="7"/>
        <v>10757.387649617707</v>
      </c>
      <c r="F50" s="99" t="s">
        <v>49</v>
      </c>
      <c r="G50" s="100">
        <f>E70-E71-1.5-(G51/2)</f>
        <v>4.999999999999999</v>
      </c>
      <c r="H50" s="1"/>
      <c r="I50" s="1"/>
      <c r="J50" s="7"/>
      <c r="K50" s="7"/>
      <c r="L50" s="7"/>
      <c r="M50" s="8"/>
    </row>
    <row r="51" spans="1:13" ht="12" customHeight="1">
      <c r="A51" s="1"/>
      <c r="B51" s="10"/>
      <c r="C51" s="96" t="s">
        <v>50</v>
      </c>
      <c r="D51" s="97">
        <f>G44/2000</f>
        <v>4.879551121794871</v>
      </c>
      <c r="E51" s="98">
        <f t="shared" si="7"/>
        <v>10757.387649617707</v>
      </c>
      <c r="F51" s="99" t="s">
        <v>51</v>
      </c>
      <c r="G51" s="122">
        <v>1.32</v>
      </c>
      <c r="H51" s="1"/>
      <c r="I51" s="1"/>
      <c r="J51" s="7"/>
      <c r="K51" s="7"/>
      <c r="L51" s="7"/>
      <c r="M51" s="8"/>
    </row>
    <row r="52" spans="1:13" ht="12" customHeight="1" thickBot="1">
      <c r="A52" s="1"/>
      <c r="B52" s="17"/>
      <c r="C52" s="101"/>
      <c r="D52" s="118"/>
      <c r="E52" s="119"/>
      <c r="F52" s="120"/>
      <c r="G52" s="121"/>
      <c r="H52" s="1"/>
      <c r="I52" s="1"/>
      <c r="J52" s="7"/>
      <c r="K52" s="7"/>
      <c r="L52" s="7"/>
      <c r="M52" s="8"/>
    </row>
    <row r="53" spans="1:13" ht="9.75" customHeight="1">
      <c r="A53" s="1"/>
      <c r="B53" s="1"/>
      <c r="C53" s="1" t="s">
        <v>0</v>
      </c>
      <c r="D53" s="1"/>
      <c r="E53" s="1"/>
      <c r="F53" s="1"/>
      <c r="G53" s="1"/>
      <c r="H53" s="1"/>
      <c r="I53" s="1"/>
      <c r="J53" s="7"/>
      <c r="K53" s="7"/>
      <c r="L53" s="7"/>
      <c r="M53" s="8"/>
    </row>
    <row r="54" spans="1:13" ht="9.75" customHeight="1">
      <c r="A54" s="1"/>
      <c r="B54" s="1"/>
      <c r="C54" s="1"/>
      <c r="D54" s="1"/>
      <c r="E54" s="1"/>
      <c r="F54" s="1" t="s">
        <v>52</v>
      </c>
      <c r="G54" s="1"/>
      <c r="H54" s="1"/>
      <c r="I54" s="1"/>
      <c r="J54" s="7"/>
      <c r="K54" s="7"/>
      <c r="L54" s="7"/>
      <c r="M54" s="8"/>
    </row>
    <row r="55" spans="1:13" ht="9.75" customHeight="1">
      <c r="A55" s="1"/>
      <c r="B55" s="1"/>
      <c r="C55" s="1" t="s">
        <v>53</v>
      </c>
      <c r="D55" s="1"/>
      <c r="E55" s="1"/>
      <c r="F55" s="1" t="s">
        <v>54</v>
      </c>
      <c r="G55" s="1" t="s">
        <v>55</v>
      </c>
      <c r="H55" s="1"/>
      <c r="I55" s="1"/>
      <c r="J55" s="7"/>
      <c r="K55" s="7"/>
      <c r="L55" s="7"/>
      <c r="M55" s="8"/>
    </row>
    <row r="56" spans="1:13" ht="9.75" customHeight="1">
      <c r="A56" s="1"/>
      <c r="B56" s="1"/>
      <c r="C56" s="102" t="s">
        <v>56</v>
      </c>
      <c r="D56" s="103">
        <f>D46+D47</f>
        <v>20.65245911111111</v>
      </c>
      <c r="E56" s="1" t="str">
        <f aca="true" t="shared" si="8" ref="E56:E64">IF(D56&gt;F56,"----------&gt;&gt;","")</f>
        <v>----------&gt;&gt;</v>
      </c>
      <c r="F56" s="103">
        <f>G47*3+15+(E73-2.5)*10</f>
        <v>20.449999999999996</v>
      </c>
      <c r="G56" s="103">
        <f>G47*3+18</f>
        <v>22.95</v>
      </c>
      <c r="H56" s="1">
        <f aca="true" t="shared" si="9" ref="H56:H64">IF(D56&gt;G56,"&lt;&lt;----","")</f>
      </c>
      <c r="I56" s="1"/>
      <c r="J56" s="7"/>
      <c r="K56" s="7"/>
      <c r="L56" s="7"/>
      <c r="M56" s="8"/>
    </row>
    <row r="57" spans="1:13" ht="9.75" customHeight="1">
      <c r="A57" s="1"/>
      <c r="B57" s="1"/>
      <c r="C57" s="102" t="s">
        <v>57</v>
      </c>
      <c r="D57" s="103">
        <f>SUM(D46:D48)</f>
        <v>26.882178433760682</v>
      </c>
      <c r="E57" s="1" t="str">
        <f t="shared" si="8"/>
        <v>----------&gt;&gt;</v>
      </c>
      <c r="F57" s="103">
        <f>(SUM(G47:G48))*3+15+(E73-2.5)*10</f>
        <v>26.75</v>
      </c>
      <c r="G57" s="103">
        <f>SUM(G47:G48)*3+18</f>
        <v>29.25</v>
      </c>
      <c r="H57" s="1">
        <f t="shared" si="9"/>
      </c>
      <c r="I57" s="1"/>
      <c r="J57" s="7"/>
      <c r="K57" s="7"/>
      <c r="L57" s="7"/>
      <c r="M57" s="8"/>
    </row>
    <row r="58" spans="1:13" ht="9.75" customHeight="1">
      <c r="A58" s="1"/>
      <c r="B58" s="1"/>
      <c r="C58" s="102" t="s">
        <v>58</v>
      </c>
      <c r="D58" s="103">
        <f>SUM(D46:D49)</f>
        <v>33.11189775641026</v>
      </c>
      <c r="E58" s="1" t="str">
        <f t="shared" si="8"/>
        <v>----------&gt;&gt;</v>
      </c>
      <c r="F58" s="103">
        <f>(SUM(G47:G49))*3+15+(E73-2.5)*10</f>
        <v>31.700000000000003</v>
      </c>
      <c r="G58" s="103">
        <f>SUM(G47:G49)*3+18</f>
        <v>34.2</v>
      </c>
      <c r="H58" s="1">
        <f t="shared" si="9"/>
      </c>
      <c r="I58" s="1"/>
      <c r="J58" s="7"/>
      <c r="K58" s="7"/>
      <c r="L58" s="7"/>
      <c r="M58" s="8"/>
    </row>
    <row r="59" spans="1:13" ht="9.75" customHeight="1">
      <c r="A59" s="1"/>
      <c r="B59" s="1"/>
      <c r="C59" s="102" t="s">
        <v>59</v>
      </c>
      <c r="D59" s="103">
        <f>SUM(D46:D51)</f>
        <v>42.870999999999995</v>
      </c>
      <c r="E59" s="1">
        <f t="shared" si="8"/>
      </c>
      <c r="F59" s="103">
        <f>(SUM(G47:G51))*3+15+(E73-2.5)*10</f>
        <v>50.66</v>
      </c>
      <c r="G59" s="103">
        <f>SUM(G47:G51)*3+18</f>
        <v>53.16</v>
      </c>
      <c r="H59" s="1">
        <f t="shared" si="9"/>
      </c>
      <c r="I59" s="1"/>
      <c r="J59" s="7"/>
      <c r="K59" s="7"/>
      <c r="L59" s="7"/>
      <c r="M59" s="8"/>
    </row>
    <row r="60" spans="1:13" ht="9.75" customHeight="1">
      <c r="A60" s="1"/>
      <c r="B60" s="1"/>
      <c r="C60" s="102" t="s">
        <v>60</v>
      </c>
      <c r="D60" s="103">
        <f>SUM(D47:D49)</f>
        <v>22.7856682008547</v>
      </c>
      <c r="E60" s="1">
        <f t="shared" si="8"/>
      </c>
      <c r="F60" s="103">
        <f>(SUM(G48:G49)*3+15+(E73-2.5)*10)</f>
        <v>26.75</v>
      </c>
      <c r="G60" s="103">
        <f>SUM(G48:G49)*3+18</f>
        <v>29.25</v>
      </c>
      <c r="H60" s="1">
        <f t="shared" si="9"/>
      </c>
      <c r="I60" s="1"/>
      <c r="J60" s="7"/>
      <c r="K60" s="7"/>
      <c r="L60" s="7"/>
      <c r="M60" s="8"/>
    </row>
    <row r="61" spans="1:13" ht="9.75" customHeight="1">
      <c r="A61" s="1"/>
      <c r="B61" s="1"/>
      <c r="C61" s="102" t="s">
        <v>61</v>
      </c>
      <c r="D61" s="103">
        <f>SUM(D47:D51)</f>
        <v>32.544770444444445</v>
      </c>
      <c r="E61" s="1">
        <f t="shared" si="8"/>
      </c>
      <c r="F61" s="103">
        <f>(SUM(G48:G51))*3+15+(E73-2.5)*10</f>
        <v>45.71</v>
      </c>
      <c r="G61" s="103">
        <f>SUM(G48:G51)*3+18</f>
        <v>48.21</v>
      </c>
      <c r="H61" s="1">
        <f t="shared" si="9"/>
      </c>
      <c r="I61" s="1"/>
      <c r="J61" s="7"/>
      <c r="K61" s="7"/>
      <c r="L61" s="7"/>
      <c r="M61" s="8"/>
    </row>
    <row r="62" spans="1:13" ht="9.75" customHeight="1">
      <c r="A62" s="1"/>
      <c r="B62" s="1"/>
      <c r="C62" s="102" t="s">
        <v>62</v>
      </c>
      <c r="D62" s="103">
        <f>SUM(D48:D49)</f>
        <v>12.459438645299144</v>
      </c>
      <c r="E62" s="1">
        <f t="shared" si="8"/>
      </c>
      <c r="F62" s="103">
        <f>G49*3+15+(E73-2.5)*10</f>
        <v>20.449999999999996</v>
      </c>
      <c r="G62" s="103">
        <f>G49*3+18</f>
        <v>22.95</v>
      </c>
      <c r="H62" s="1">
        <f t="shared" si="9"/>
      </c>
      <c r="I62" s="1"/>
      <c r="J62" s="7"/>
      <c r="K62" s="7"/>
      <c r="L62" s="7"/>
      <c r="M62" s="8"/>
    </row>
    <row r="63" spans="1:13" ht="9.75" customHeight="1">
      <c r="A63" s="1"/>
      <c r="B63" s="1"/>
      <c r="C63" s="102" t="s">
        <v>63</v>
      </c>
      <c r="D63" s="103">
        <f>SUM(D48:D51)</f>
        <v>22.21854088888889</v>
      </c>
      <c r="E63" s="1">
        <f t="shared" si="8"/>
      </c>
      <c r="F63" s="103">
        <f>SUM(G49:G51)*3+15+(E73-2.5)*10</f>
        <v>39.41</v>
      </c>
      <c r="G63" s="103">
        <f>SUM(G49:G51)*3+18</f>
        <v>41.91</v>
      </c>
      <c r="H63" s="1">
        <f t="shared" si="9"/>
      </c>
      <c r="I63" s="1"/>
      <c r="J63" s="7"/>
      <c r="K63" s="7"/>
      <c r="L63" s="7"/>
      <c r="M63" s="8"/>
    </row>
    <row r="64" spans="1:13" ht="9.75" customHeight="1">
      <c r="A64" s="1"/>
      <c r="B64" s="1"/>
      <c r="C64" s="102" t="s">
        <v>64</v>
      </c>
      <c r="D64" s="103">
        <f>SUM(D50:D51)</f>
        <v>9.759102243589743</v>
      </c>
      <c r="E64" s="1">
        <f t="shared" si="8"/>
      </c>
      <c r="F64" s="103">
        <f>(G51*3+15)+(E73-2.5)*10</f>
        <v>19.46</v>
      </c>
      <c r="G64" s="103">
        <f>G51*3+18</f>
        <v>21.96</v>
      </c>
      <c r="H64" s="1">
        <f t="shared" si="9"/>
      </c>
      <c r="I64" s="1"/>
      <c r="J64" s="7"/>
      <c r="K64" s="7"/>
      <c r="L64" s="7"/>
      <c r="M64" s="8"/>
    </row>
    <row r="65" spans="1:13" ht="9.75" customHeight="1" thickBot="1">
      <c r="A65" s="1"/>
      <c r="B65" s="1"/>
      <c r="C65" s="1" t="s">
        <v>0</v>
      </c>
      <c r="D65" s="1"/>
      <c r="E65" s="1"/>
      <c r="F65" s="1"/>
      <c r="G65" s="1"/>
      <c r="H65" s="1"/>
      <c r="I65" s="1"/>
      <c r="J65" s="7"/>
      <c r="K65" s="7"/>
      <c r="L65" s="7"/>
      <c r="M65" s="8"/>
    </row>
    <row r="66" spans="1:13" ht="9.75" customHeight="1">
      <c r="A66" s="1"/>
      <c r="B66" s="1"/>
      <c r="C66" s="22" t="s">
        <v>65</v>
      </c>
      <c r="D66" s="3" t="s">
        <v>66</v>
      </c>
      <c r="E66" s="104">
        <v>21.075</v>
      </c>
      <c r="F66" s="105">
        <v>1.9987</v>
      </c>
      <c r="G66" s="3" t="s">
        <v>67</v>
      </c>
      <c r="H66" s="1">
        <f>E68-H67</f>
        <v>4.334663247863247</v>
      </c>
      <c r="I66" s="1"/>
      <c r="J66" s="7"/>
      <c r="K66" s="7"/>
      <c r="L66" s="7"/>
      <c r="M66" s="8"/>
    </row>
    <row r="67" spans="1:13" ht="9.75" customHeight="1">
      <c r="A67" s="1"/>
      <c r="B67" s="1"/>
      <c r="C67" s="10" t="s">
        <v>83</v>
      </c>
      <c r="D67" s="1" t="s">
        <v>66</v>
      </c>
      <c r="E67" s="103">
        <v>4.605</v>
      </c>
      <c r="F67" s="72">
        <v>0.901</v>
      </c>
      <c r="G67" s="1" t="s">
        <v>68</v>
      </c>
      <c r="H67" s="1">
        <f>E68*F68/E70+(G39+G40+G37)/1000</f>
        <v>6.305336752136753</v>
      </c>
      <c r="I67" s="1"/>
      <c r="J67" s="7"/>
      <c r="K67" s="7"/>
      <c r="L67" s="7"/>
      <c r="M67" s="8"/>
    </row>
    <row r="68" spans="1:13" ht="9.75" customHeight="1">
      <c r="A68" s="1"/>
      <c r="B68" s="1"/>
      <c r="C68" s="10" t="s">
        <v>69</v>
      </c>
      <c r="D68" s="1" t="s">
        <v>66</v>
      </c>
      <c r="E68" s="103">
        <v>10.64</v>
      </c>
      <c r="F68" s="72">
        <v>5.5468</v>
      </c>
      <c r="G68" s="1"/>
      <c r="H68" s="1"/>
      <c r="I68" s="1"/>
      <c r="J68" s="7"/>
      <c r="K68" s="7"/>
      <c r="L68" s="7"/>
      <c r="M68" s="8"/>
    </row>
    <row r="69" spans="1:13" ht="9.75" customHeight="1">
      <c r="A69" s="1"/>
      <c r="B69" s="1"/>
      <c r="C69" s="10" t="s">
        <v>70</v>
      </c>
      <c r="D69" s="1" t="s">
        <v>71</v>
      </c>
      <c r="E69" s="108">
        <v>2.721</v>
      </c>
      <c r="F69" s="72"/>
      <c r="G69" s="1"/>
      <c r="H69" s="1"/>
      <c r="I69" s="1"/>
      <c r="J69" s="7"/>
      <c r="K69" s="7"/>
      <c r="L69" s="7"/>
      <c r="M69" s="8"/>
    </row>
    <row r="70" spans="1:13" ht="9.75" customHeight="1">
      <c r="A70" s="1"/>
      <c r="B70" s="1"/>
      <c r="C70" s="10" t="s">
        <v>72</v>
      </c>
      <c r="D70" s="1" t="s">
        <v>73</v>
      </c>
      <c r="E70" s="109">
        <v>9.36</v>
      </c>
      <c r="F70" s="110" t="s">
        <v>88</v>
      </c>
      <c r="G70" s="1" t="s">
        <v>74</v>
      </c>
      <c r="H70" s="1">
        <f>E66+E67+H66</f>
        <v>30.014663247863247</v>
      </c>
      <c r="I70" s="1"/>
      <c r="J70" s="7"/>
      <c r="K70" s="7"/>
      <c r="L70" s="7"/>
      <c r="M70" s="8"/>
    </row>
    <row r="71" spans="1:13" ht="9.75" customHeight="1">
      <c r="A71" s="1"/>
      <c r="B71" s="1"/>
      <c r="C71" s="10" t="s">
        <v>75</v>
      </c>
      <c r="D71" s="1" t="s">
        <v>73</v>
      </c>
      <c r="E71" s="72">
        <v>2.2</v>
      </c>
      <c r="F71" s="72"/>
      <c r="G71" s="1" t="s">
        <v>76</v>
      </c>
      <c r="H71" s="1">
        <f>(E66*F66+E67*F67+H66*E71)/H70</f>
        <v>1.859356747881292</v>
      </c>
      <c r="I71" s="1"/>
      <c r="J71" s="7"/>
      <c r="K71" s="7"/>
      <c r="L71" s="7"/>
      <c r="M71" s="8"/>
    </row>
    <row r="72" spans="1:13" ht="9.75" customHeight="1" thickBot="1">
      <c r="A72" s="1"/>
      <c r="B72" s="1"/>
      <c r="C72" s="10" t="s">
        <v>77</v>
      </c>
      <c r="D72" s="1" t="s">
        <v>73</v>
      </c>
      <c r="E72" s="72">
        <v>11</v>
      </c>
      <c r="F72" s="72"/>
      <c r="G72" s="1"/>
      <c r="H72" s="1"/>
      <c r="I72" s="1"/>
      <c r="J72" s="7"/>
      <c r="K72" s="7"/>
      <c r="L72" s="7"/>
      <c r="M72" s="8"/>
    </row>
    <row r="73" spans="1:13" ht="9.75" customHeight="1" thickBot="1">
      <c r="A73" s="1"/>
      <c r="B73" s="1"/>
      <c r="C73" s="17" t="s">
        <v>78</v>
      </c>
      <c r="D73" s="18" t="s">
        <v>73</v>
      </c>
      <c r="E73" s="111">
        <v>2.55</v>
      </c>
      <c r="F73" s="112"/>
      <c r="G73" s="18"/>
      <c r="H73" s="106"/>
      <c r="I73" s="107"/>
      <c r="J73" s="7"/>
      <c r="K73" s="7"/>
      <c r="L73" s="7"/>
      <c r="M73" s="8"/>
    </row>
  </sheetData>
  <mergeCells count="2">
    <mergeCell ref="D6:E6"/>
    <mergeCell ref="F6:G6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GMK4080-1/4100B weight sheet 2 axle boom dolly (XLS)</dc:title>
  <dc:subject/>
  <dc:creator>Gateway 2000 Licensed User.</dc:creator>
  <cp:keywords/>
  <dc:description/>
  <cp:lastModifiedBy>ca13805</cp:lastModifiedBy>
  <cp:lastPrinted>2001-06-05T14:07:37Z</cp:lastPrinted>
  <dcterms:created xsi:type="dcterms:W3CDTF">2000-03-28T15:53:13Z</dcterms:created>
  <dcterms:modified xsi:type="dcterms:W3CDTF">2009-02-13T21:12:27Z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6.00000000000000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