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180" windowHeight="8940" activeTab="0"/>
  </bookViews>
  <sheets>
    <sheet name="Sheet1" sheetId="1" r:id="rId1"/>
  </sheets>
  <definedNames>
    <definedName name="DMAFA">'Sheet1'!$E$81</definedName>
  </definedNames>
  <calcPr fullCalcOnLoad="1"/>
</workbook>
</file>

<file path=xl/sharedStrings.xml><?xml version="1.0" encoding="utf-8"?>
<sst xmlns="http://schemas.openxmlformats.org/spreadsheetml/2006/main" count="150" uniqueCount="113">
  <si>
    <t xml:space="preserve"> </t>
  </si>
  <si>
    <t>file:</t>
  </si>
  <si>
    <t>updated:</t>
  </si>
  <si>
    <t>date:</t>
  </si>
  <si>
    <t>dept:</t>
  </si>
  <si>
    <t>ENG-SE-ME</t>
  </si>
  <si>
    <t>Standard</t>
  </si>
  <si>
    <t>For information only!</t>
  </si>
  <si>
    <r>
      <t>Standard unit</t>
    </r>
    <r>
      <rPr>
        <sz val="8"/>
        <rFont val="Arial"/>
        <family val="2"/>
      </rPr>
      <t xml:space="preserve"> with tyres 14.00 R25 XGC on steel wheels; 10 * 6 * 10; with driver; tanks filled</t>
    </r>
  </si>
  <si>
    <t>Weight of boom dolly (t):</t>
  </si>
  <si>
    <t>Distance from boom pivot pin to centre of dolly (m):</t>
  </si>
  <si>
    <t>excluding all parts as shown below</t>
  </si>
  <si>
    <t>total</t>
  </si>
  <si>
    <t>weight (kg)</t>
  </si>
  <si>
    <t>axles (kg)</t>
  </si>
  <si>
    <t xml:space="preserve">  Schwerp.</t>
  </si>
  <si>
    <t xml:space="preserve">  VA - DM</t>
  </si>
  <si>
    <t xml:space="preserve">  DM - HA</t>
  </si>
  <si>
    <t>weight</t>
  </si>
  <si>
    <t>axles</t>
  </si>
  <si>
    <t>weight for standard unit including dolly:</t>
  </si>
  <si>
    <t>(lbs)</t>
  </si>
  <si>
    <t>plus:  (only the marked parts!)</t>
  </si>
  <si>
    <t>O/R pads on jack- cylinders</t>
  </si>
  <si>
    <t>O/R pads on dolly</t>
  </si>
  <si>
    <t>10 * 8 * 10 drive/steer</t>
  </si>
  <si>
    <t>fixed counterweight in lieu of aux. hoist</t>
  </si>
  <si>
    <t>nach vorne gedreht</t>
  </si>
  <si>
    <t>brackets for lattice swingaway 11 to 18 m</t>
  </si>
  <si>
    <t>zeigt aber nach hinten</t>
  </si>
  <si>
    <t>hose reel for hydraulic swingaway</t>
  </si>
  <si>
    <t>hydraulic swingaway 11 m to 18 m (59 ft)</t>
  </si>
  <si>
    <t>swingaway 11 m to 18 m (59 ft)</t>
  </si>
  <si>
    <t>add. oil cooler superstructure</t>
  </si>
  <si>
    <t>add. weight for tyres 16.00 R25 XGC steel rim</t>
  </si>
  <si>
    <t>spare wheel 14.00 R25 XGC on dolly</t>
  </si>
  <si>
    <t>spare wheel 16.00 R25 XGC on dolly</t>
  </si>
  <si>
    <t>spare wheel 20.5 R25 XGC on dolly</t>
  </si>
  <si>
    <t>.. t counterweight on superstructure or carrier</t>
  </si>
  <si>
    <t>remove outriggers in front</t>
  </si>
  <si>
    <t>remove outriggers at the rear</t>
  </si>
  <si>
    <t>remove rope from main hoist</t>
  </si>
  <si>
    <t>.. m telescope 1 extended</t>
  </si>
  <si>
    <t>boost for lift cylinder ( t ):</t>
  </si>
  <si>
    <t>( axle loads depend on a boom angle of 0 deg.;</t>
  </si>
  <si>
    <t>special equipment is required)</t>
  </si>
  <si>
    <t>Total weight including marked parts ( kg ):</t>
  </si>
  <si>
    <t>Total weight including marked parts ( lbs ):</t>
  </si>
  <si>
    <r>
      <t xml:space="preserve">Axle loads in ( t ): </t>
    </r>
    <r>
      <rPr>
        <b/>
        <i/>
        <sz val="8"/>
        <rFont val="Arial"/>
        <family val="2"/>
      </rPr>
      <t xml:space="preserve"> in (</t>
    </r>
    <r>
      <rPr>
        <b/>
        <i/>
        <sz val="8"/>
        <color indexed="10"/>
        <rFont val="Arial"/>
        <family val="2"/>
      </rPr>
      <t>lbs</t>
    </r>
    <r>
      <rPr>
        <b/>
        <i/>
        <sz val="8"/>
        <rFont val="Arial"/>
        <family val="2"/>
      </rPr>
      <t>):</t>
    </r>
    <r>
      <rPr>
        <b/>
        <sz val="8"/>
        <rFont val="Arial"/>
        <family val="2"/>
      </rPr>
      <t xml:space="preserve">            1. axle:</t>
    </r>
  </si>
  <si>
    <t>distance between axles (m):</t>
  </si>
  <si>
    <t>2. axle:</t>
  </si>
  <si>
    <t>axle 1 - 2:</t>
  </si>
  <si>
    <t>3. axle:</t>
  </si>
  <si>
    <t>axle 2 - 3:</t>
  </si>
  <si>
    <t>4. axle:</t>
  </si>
  <si>
    <t>axle 3 - 4:</t>
  </si>
  <si>
    <t>5. axle:</t>
  </si>
  <si>
    <t>axle 4 - 5:</t>
  </si>
  <si>
    <t>6. axle:</t>
  </si>
  <si>
    <t>axle 5 - 6:</t>
  </si>
  <si>
    <t>7. axle:</t>
  </si>
  <si>
    <t>axle 6 - 7:</t>
  </si>
  <si>
    <t>allowed in:</t>
  </si>
  <si>
    <t>Axle loads for groups of axles ( t ):</t>
  </si>
  <si>
    <t>Australia</t>
  </si>
  <si>
    <t>Canada (BC)</t>
  </si>
  <si>
    <t xml:space="preserve">  1.-2. axle:</t>
  </si>
  <si>
    <t xml:space="preserve">  1.-3. axle:</t>
  </si>
  <si>
    <t xml:space="preserve">  1.-5. axle:</t>
  </si>
  <si>
    <t xml:space="preserve">  1.-7. axle:</t>
  </si>
  <si>
    <t xml:space="preserve">  2.-5. axle:</t>
  </si>
  <si>
    <t xml:space="preserve">  2.-7. axle:</t>
  </si>
  <si>
    <t xml:space="preserve">  4.-5. axle:</t>
  </si>
  <si>
    <t xml:space="preserve">  4.-7. axle:</t>
  </si>
  <si>
    <t xml:space="preserve">  6.-7. axle:</t>
  </si>
  <si>
    <t>Fahrgestell 10*6*10</t>
  </si>
  <si>
    <r>
      <t xml:space="preserve">     G * Xs</t>
    </r>
    <r>
      <rPr>
        <vertAlign val="subscript"/>
        <sz val="8"/>
        <rFont val="Arial"/>
        <family val="2"/>
      </rPr>
      <t>DM</t>
    </r>
  </si>
  <si>
    <r>
      <t xml:space="preserve">      G</t>
    </r>
    <r>
      <rPr>
        <vertAlign val="subscript"/>
        <sz val="8"/>
        <rFont val="Arial"/>
        <family val="2"/>
      </rPr>
      <t>Boom</t>
    </r>
    <r>
      <rPr>
        <sz val="8"/>
        <rFont val="Arial"/>
        <family val="2"/>
      </rPr>
      <t xml:space="preserve"> Afa</t>
    </r>
  </si>
  <si>
    <t>Drehtisch mit Anteil W- Zyl.</t>
  </si>
  <si>
    <r>
      <t xml:space="preserve">    G</t>
    </r>
    <r>
      <rPr>
        <vertAlign val="subscript"/>
        <sz val="8"/>
        <rFont val="Arial"/>
        <family val="2"/>
      </rPr>
      <t>Boom</t>
    </r>
    <r>
      <rPr>
        <sz val="8"/>
        <rFont val="Arial"/>
        <family val="2"/>
      </rPr>
      <t xml:space="preserve"> Dolly</t>
    </r>
  </si>
  <si>
    <t>Ausleger mit Anteil W- Zyl.</t>
  </si>
  <si>
    <r>
      <t xml:space="preserve">     G * Xs</t>
    </r>
    <r>
      <rPr>
        <vertAlign val="subscript"/>
        <sz val="8"/>
        <rFont val="Arial"/>
        <family val="2"/>
      </rPr>
      <t>AFA</t>
    </r>
  </si>
  <si>
    <t>2- achs- Nachläufer</t>
  </si>
  <si>
    <t xml:space="preserve">        G</t>
  </si>
  <si>
    <t>Auflage ab Afa</t>
  </si>
  <si>
    <t xml:space="preserve">        m</t>
  </si>
  <si>
    <t>Zugfz.   G</t>
  </si>
  <si>
    <t>Abstand Drehm. bis Afa</t>
  </si>
  <si>
    <t>Zugfz.  Xs</t>
  </si>
  <si>
    <t>Auslegerlänge</t>
  </si>
  <si>
    <t>Kranbreite</t>
  </si>
  <si>
    <t>add. weight for tyres 20.50 R25 XGC steel rim</t>
  </si>
  <si>
    <t>less weight for tyres 14.00 R25 REM8 alum. rim</t>
  </si>
  <si>
    <t>add. weight for tyres 16.00 R25 REM8 alum. rim</t>
  </si>
  <si>
    <t>add. weight for tyres 20.50 R25 REM8 alum. rim</t>
  </si>
  <si>
    <t>.. t extending force (max. 12 t)</t>
  </si>
  <si>
    <t>.. t retracting force (max. 12 t)</t>
  </si>
  <si>
    <t>(9,5-12,0 m)</t>
  </si>
  <si>
    <t>3 front-</t>
  </si>
  <si>
    <t>2 rear-</t>
  </si>
  <si>
    <t>80- t- hook block on dolly</t>
  </si>
  <si>
    <t>aux. Hoist (incl. 0,6 to)</t>
  </si>
  <si>
    <r>
      <t xml:space="preserve">Axle Loads GMK 5170 / </t>
    </r>
    <r>
      <rPr>
        <b/>
        <sz val="8"/>
        <color indexed="10"/>
        <rFont val="Arial"/>
        <family val="2"/>
      </rPr>
      <t>5225</t>
    </r>
    <r>
      <rPr>
        <b/>
        <sz val="8"/>
        <rFont val="Arial"/>
        <family val="2"/>
      </rPr>
      <t xml:space="preserve"> Cummins (kg/</t>
    </r>
    <r>
      <rPr>
        <b/>
        <sz val="8"/>
        <color indexed="10"/>
        <rFont val="Arial"/>
        <family val="2"/>
      </rPr>
      <t>lbs</t>
    </r>
    <r>
      <rPr>
        <b/>
        <sz val="8"/>
        <rFont val="Arial"/>
        <family val="2"/>
      </rPr>
      <t>)</t>
    </r>
  </si>
  <si>
    <t>AX5170_Cummins_Boom-Dolly_rev_A</t>
  </si>
  <si>
    <t>Distance to center between lugs on base section 34.5 ft</t>
  </si>
  <si>
    <t>Nelson CBC-30ST</t>
  </si>
  <si>
    <t>axle 7 - 8:</t>
  </si>
  <si>
    <t>8. axle:</t>
  </si>
  <si>
    <t>3 dolly-</t>
  </si>
  <si>
    <t>with 3- Axle boom dolly</t>
  </si>
  <si>
    <t>hydraulic swingaway ISS 3,6 m (11,8 ft)</t>
  </si>
  <si>
    <t>hydraulic swingaway ISS 11 m (36 ft)</t>
  </si>
  <si>
    <t>hydraulic swingaway ISS 11 m to 18 m (59 ft)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</si>
</sst>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/\ mmm/\ yy;@"/>
    <numFmt numFmtId="173" formatCode="mm/dd/yyyy"/>
    <numFmt numFmtId="174" formatCode="0.000"/>
    <numFmt numFmtId="175" formatCode="0.0000"/>
  </numFmts>
  <fonts count="45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i/>
      <sz val="8"/>
      <color indexed="10"/>
      <name val="Arial"/>
      <family val="2"/>
    </font>
    <font>
      <sz val="8"/>
      <color indexed="10"/>
      <name val="Arial"/>
      <family val="2"/>
    </font>
    <font>
      <vertAlign val="sub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2" fontId="9" fillId="33" borderId="10" xfId="0" applyNumberFormat="1" applyFont="1" applyFill="1" applyBorder="1" applyAlignment="1" applyProtection="1">
      <alignment horizontal="right"/>
      <protection locked="0"/>
    </xf>
    <xf numFmtId="0" fontId="0" fillId="34" borderId="0" xfId="0" applyFont="1" applyFill="1" applyAlignment="1">
      <alignment/>
    </xf>
    <xf numFmtId="0" fontId="1" fillId="34" borderId="0" xfId="0" applyNumberFormat="1" applyFont="1" applyFill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12" xfId="0" applyNumberFormat="1" applyFont="1" applyFill="1" applyBorder="1" applyAlignment="1" applyProtection="1">
      <alignment/>
      <protection/>
    </xf>
    <xf numFmtId="0" fontId="1" fillId="34" borderId="12" xfId="0" applyNumberFormat="1" applyFont="1" applyFill="1" applyBorder="1" applyAlignment="1" applyProtection="1">
      <alignment horizontal="right"/>
      <protection/>
    </xf>
    <xf numFmtId="0" fontId="1" fillId="34" borderId="13" xfId="0" applyNumberFormat="1" applyFont="1" applyFill="1" applyBorder="1" applyAlignment="1" applyProtection="1">
      <alignment horizontal="right"/>
      <protection/>
    </xf>
    <xf numFmtId="0" fontId="0" fillId="34" borderId="0" xfId="0" applyNumberFormat="1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1" fillId="34" borderId="14" xfId="0" applyNumberFormat="1" applyFont="1" applyFill="1" applyBorder="1" applyAlignment="1" applyProtection="1">
      <alignment/>
      <protection/>
    </xf>
    <xf numFmtId="0" fontId="2" fillId="34" borderId="0" xfId="0" applyNumberFormat="1" applyFont="1" applyFill="1" applyAlignment="1" applyProtection="1">
      <alignment/>
      <protection/>
    </xf>
    <xf numFmtId="0" fontId="1" fillId="34" borderId="0" xfId="0" applyNumberFormat="1" applyFont="1" applyFill="1" applyAlignment="1" applyProtection="1">
      <alignment horizontal="right"/>
      <protection/>
    </xf>
    <xf numFmtId="173" fontId="1" fillId="34" borderId="15" xfId="0" applyNumberFormat="1" applyFont="1" applyFill="1" applyBorder="1" applyAlignment="1" applyProtection="1">
      <alignment/>
      <protection/>
    </xf>
    <xf numFmtId="14" fontId="1" fillId="34" borderId="0" xfId="0" applyNumberFormat="1" applyFont="1" applyFill="1" applyAlignment="1" applyProtection="1">
      <alignment horizontal="right"/>
      <protection/>
    </xf>
    <xf numFmtId="14" fontId="1" fillId="34" borderId="15" xfId="0" applyNumberFormat="1" applyFont="1" applyFill="1" applyBorder="1" applyAlignment="1" applyProtection="1">
      <alignment horizontal="right"/>
      <protection/>
    </xf>
    <xf numFmtId="0" fontId="1" fillId="34" borderId="16" xfId="0" applyNumberFormat="1" applyFont="1" applyFill="1" applyBorder="1" applyAlignment="1" applyProtection="1">
      <alignment/>
      <protection/>
    </xf>
    <xf numFmtId="0" fontId="1" fillId="34" borderId="17" xfId="0" applyNumberFormat="1" applyFont="1" applyFill="1" applyBorder="1" applyAlignment="1" applyProtection="1">
      <alignment/>
      <protection/>
    </xf>
    <xf numFmtId="0" fontId="1" fillId="34" borderId="17" xfId="0" applyNumberFormat="1" applyFont="1" applyFill="1" applyBorder="1" applyAlignment="1" applyProtection="1">
      <alignment horizontal="right"/>
      <protection/>
    </xf>
    <xf numFmtId="0" fontId="1" fillId="34" borderId="18" xfId="0" applyNumberFormat="1" applyFont="1" applyFill="1" applyBorder="1" applyAlignment="1" applyProtection="1">
      <alignment horizontal="right"/>
      <protection/>
    </xf>
    <xf numFmtId="0" fontId="1" fillId="34" borderId="11" xfId="0" applyNumberFormat="1" applyFont="1" applyFill="1" applyBorder="1" applyAlignment="1" applyProtection="1">
      <alignment/>
      <protection/>
    </xf>
    <xf numFmtId="0" fontId="1" fillId="34" borderId="13" xfId="0" applyNumberFormat="1" applyFont="1" applyFill="1" applyBorder="1" applyAlignment="1" applyProtection="1">
      <alignment/>
      <protection/>
    </xf>
    <xf numFmtId="0" fontId="5" fillId="34" borderId="0" xfId="0" applyNumberFormat="1" applyFont="1" applyFill="1" applyAlignment="1" applyProtection="1">
      <alignment/>
      <protection/>
    </xf>
    <xf numFmtId="0" fontId="1" fillId="34" borderId="0" xfId="0" applyFont="1" applyFill="1" applyBorder="1" applyAlignment="1" applyProtection="1">
      <alignment vertical="center"/>
      <protection/>
    </xf>
    <xf numFmtId="0" fontId="1" fillId="34" borderId="0" xfId="0" applyNumberFormat="1" applyFont="1" applyFill="1" applyBorder="1" applyAlignment="1" applyProtection="1">
      <alignment vertical="center"/>
      <protection/>
    </xf>
    <xf numFmtId="0" fontId="1" fillId="34" borderId="15" xfId="0" applyNumberFormat="1" applyFont="1" applyFill="1" applyBorder="1" applyAlignment="1" applyProtection="1">
      <alignment vertical="center"/>
      <protection/>
    </xf>
    <xf numFmtId="0" fontId="6" fillId="34" borderId="0" xfId="0" applyNumberFormat="1" applyFont="1" applyFill="1" applyAlignment="1" applyProtection="1">
      <alignment/>
      <protection/>
    </xf>
    <xf numFmtId="0" fontId="3" fillId="34" borderId="0" xfId="0" applyFont="1" applyFill="1" applyBorder="1" applyAlignment="1" applyProtection="1" quotePrefix="1">
      <alignment horizontal="left"/>
      <protection/>
    </xf>
    <xf numFmtId="0" fontId="1" fillId="34" borderId="0" xfId="0" applyFont="1" applyFill="1" applyBorder="1" applyAlignment="1" applyProtection="1">
      <alignment/>
      <protection/>
    </xf>
    <xf numFmtId="0" fontId="1" fillId="34" borderId="0" xfId="0" applyNumberFormat="1" applyFont="1" applyFill="1" applyBorder="1" applyAlignment="1" applyProtection="1">
      <alignment/>
      <protection/>
    </xf>
    <xf numFmtId="0" fontId="1" fillId="34" borderId="15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/>
      <protection/>
    </xf>
    <xf numFmtId="0" fontId="1" fillId="34" borderId="0" xfId="0" applyFont="1" applyFill="1" applyBorder="1" applyAlignment="1" applyProtection="1">
      <alignment horizontal="right"/>
      <protection/>
    </xf>
    <xf numFmtId="174" fontId="3" fillId="34" borderId="0" xfId="0" applyNumberFormat="1" applyFont="1" applyFill="1" applyBorder="1" applyAlignment="1" applyProtection="1">
      <alignment/>
      <protection/>
    </xf>
    <xf numFmtId="1" fontId="4" fillId="34" borderId="15" xfId="0" applyNumberFormat="1" applyFont="1" applyFill="1" applyBorder="1" applyAlignment="1" applyProtection="1">
      <alignment horizontal="center"/>
      <protection/>
    </xf>
    <xf numFmtId="0" fontId="1" fillId="34" borderId="0" xfId="0" applyNumberFormat="1" applyFont="1" applyFill="1" applyBorder="1" applyAlignment="1" applyProtection="1" quotePrefix="1">
      <alignment horizontal="left"/>
      <protection/>
    </xf>
    <xf numFmtId="0" fontId="1" fillId="34" borderId="0" xfId="0" applyNumberFormat="1" applyFont="1" applyFill="1" applyBorder="1" applyAlignment="1" applyProtection="1">
      <alignment horizontal="right"/>
      <protection/>
    </xf>
    <xf numFmtId="0" fontId="3" fillId="34" borderId="0" xfId="0" applyFont="1" applyFill="1" applyBorder="1" applyAlignment="1" applyProtection="1">
      <alignment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1" fillId="34" borderId="0" xfId="0" applyNumberFormat="1" applyFont="1" applyFill="1" applyBorder="1" applyAlignment="1" applyProtection="1">
      <alignment horizontal="center"/>
      <protection/>
    </xf>
    <xf numFmtId="0" fontId="1" fillId="34" borderId="15" xfId="0" applyNumberFormat="1" applyFont="1" applyFill="1" applyBorder="1" applyAlignment="1" applyProtection="1">
      <alignment horizontal="center"/>
      <protection/>
    </xf>
    <xf numFmtId="0" fontId="3" fillId="34" borderId="0" xfId="0" applyNumberFormat="1" applyFont="1" applyFill="1" applyBorder="1" applyAlignment="1" applyProtection="1" quotePrefix="1">
      <alignment horizontal="left"/>
      <protection/>
    </xf>
    <xf numFmtId="1" fontId="3" fillId="34" borderId="19" xfId="0" applyNumberFormat="1" applyFont="1" applyFill="1" applyBorder="1" applyAlignment="1" applyProtection="1">
      <alignment horizontal="center"/>
      <protection/>
    </xf>
    <xf numFmtId="1" fontId="3" fillId="34" borderId="0" xfId="0" applyNumberFormat="1" applyFont="1" applyFill="1" applyBorder="1" applyAlignment="1" applyProtection="1">
      <alignment horizontal="center"/>
      <protection/>
    </xf>
    <xf numFmtId="1" fontId="3" fillId="34" borderId="15" xfId="0" applyNumberFormat="1" applyFont="1" applyFill="1" applyBorder="1" applyAlignment="1" applyProtection="1">
      <alignment horizontal="center"/>
      <protection/>
    </xf>
    <xf numFmtId="0" fontId="3" fillId="34" borderId="17" xfId="0" applyNumberFormat="1" applyFont="1" applyFill="1" applyBorder="1" applyAlignment="1" applyProtection="1" quotePrefix="1">
      <alignment horizontal="left"/>
      <protection/>
    </xf>
    <xf numFmtId="0" fontId="1" fillId="34" borderId="20" xfId="0" applyNumberFormat="1" applyFont="1" applyFill="1" applyBorder="1" applyAlignment="1" applyProtection="1">
      <alignment/>
      <protection/>
    </xf>
    <xf numFmtId="0" fontId="1" fillId="34" borderId="18" xfId="0" applyNumberFormat="1" applyFont="1" applyFill="1" applyBorder="1" applyAlignment="1" applyProtection="1">
      <alignment/>
      <protection/>
    </xf>
    <xf numFmtId="0" fontId="1" fillId="34" borderId="21" xfId="0" applyNumberFormat="1" applyFont="1" applyFill="1" applyBorder="1" applyAlignment="1" applyProtection="1">
      <alignment/>
      <protection/>
    </xf>
    <xf numFmtId="0" fontId="1" fillId="34" borderId="19" xfId="0" applyNumberFormat="1" applyFont="1" applyFill="1" applyBorder="1" applyAlignment="1" applyProtection="1">
      <alignment/>
      <protection/>
    </xf>
    <xf numFmtId="1" fontId="1" fillId="34" borderId="22" xfId="0" applyNumberFormat="1" applyFont="1" applyFill="1" applyBorder="1" applyAlignment="1" applyProtection="1">
      <alignment/>
      <protection/>
    </xf>
    <xf numFmtId="1" fontId="1" fillId="34" borderId="23" xfId="0" applyNumberFormat="1" applyFont="1" applyFill="1" applyBorder="1" applyAlignment="1" applyProtection="1">
      <alignment/>
      <protection/>
    </xf>
    <xf numFmtId="174" fontId="1" fillId="34" borderId="0" xfId="0" applyNumberFormat="1" applyFont="1" applyFill="1" applyAlignment="1" applyProtection="1">
      <alignment/>
      <protection/>
    </xf>
    <xf numFmtId="1" fontId="1" fillId="34" borderId="24" xfId="0" applyNumberFormat="1" applyFont="1" applyFill="1" applyBorder="1" applyAlignment="1" applyProtection="1">
      <alignment/>
      <protection/>
    </xf>
    <xf numFmtId="0" fontId="1" fillId="34" borderId="23" xfId="0" applyNumberFormat="1" applyFont="1" applyFill="1" applyBorder="1" applyAlignment="1" applyProtection="1" quotePrefix="1">
      <alignment horizontal="left"/>
      <protection/>
    </xf>
    <xf numFmtId="0" fontId="1" fillId="34" borderId="22" xfId="0" applyNumberFormat="1" applyFont="1" applyFill="1" applyBorder="1" applyAlignment="1" applyProtection="1">
      <alignment/>
      <protection/>
    </xf>
    <xf numFmtId="0" fontId="1" fillId="34" borderId="25" xfId="0" applyNumberFormat="1" applyFont="1" applyFill="1" applyBorder="1" applyAlignment="1" applyProtection="1">
      <alignment/>
      <protection/>
    </xf>
    <xf numFmtId="0" fontId="1" fillId="34" borderId="26" xfId="0" applyNumberFormat="1" applyFont="1" applyFill="1" applyBorder="1" applyAlignment="1" applyProtection="1">
      <alignment/>
      <protection/>
    </xf>
    <xf numFmtId="0" fontId="1" fillId="34" borderId="27" xfId="0" applyNumberFormat="1" applyFont="1" applyFill="1" applyBorder="1" applyAlignment="1" applyProtection="1">
      <alignment/>
      <protection/>
    </xf>
    <xf numFmtId="1" fontId="1" fillId="34" borderId="28" xfId="0" applyNumberFormat="1" applyFont="1" applyFill="1" applyBorder="1" applyAlignment="1" applyProtection="1">
      <alignment/>
      <protection/>
    </xf>
    <xf numFmtId="1" fontId="1" fillId="34" borderId="27" xfId="0" applyNumberFormat="1" applyFont="1" applyFill="1" applyBorder="1" applyAlignment="1" applyProtection="1">
      <alignment/>
      <protection/>
    </xf>
    <xf numFmtId="1" fontId="1" fillId="34" borderId="29" xfId="0" applyNumberFormat="1" applyFont="1" applyFill="1" applyBorder="1" applyAlignment="1" applyProtection="1">
      <alignment/>
      <protection/>
    </xf>
    <xf numFmtId="0" fontId="1" fillId="34" borderId="30" xfId="0" applyNumberFormat="1" applyFont="1" applyFill="1" applyBorder="1" applyAlignment="1" applyProtection="1">
      <alignment/>
      <protection/>
    </xf>
    <xf numFmtId="1" fontId="3" fillId="34" borderId="19" xfId="0" applyNumberFormat="1" applyFont="1" applyFill="1" applyBorder="1" applyAlignment="1" applyProtection="1">
      <alignment/>
      <protection/>
    </xf>
    <xf numFmtId="1" fontId="3" fillId="34" borderId="10" xfId="0" applyNumberFormat="1" applyFont="1" applyFill="1" applyBorder="1" applyAlignment="1" applyProtection="1">
      <alignment/>
      <protection/>
    </xf>
    <xf numFmtId="0" fontId="4" fillId="34" borderId="17" xfId="0" applyNumberFormat="1" applyFont="1" applyFill="1" applyBorder="1" applyAlignment="1" applyProtection="1" quotePrefix="1">
      <alignment horizontal="left"/>
      <protection/>
    </xf>
    <xf numFmtId="0" fontId="3" fillId="34" borderId="12" xfId="0" applyNumberFormat="1" applyFont="1" applyFill="1" applyBorder="1" applyAlignment="1" applyProtection="1">
      <alignment horizontal="right"/>
      <protection/>
    </xf>
    <xf numFmtId="2" fontId="3" fillId="34" borderId="30" xfId="0" applyNumberFormat="1" applyFont="1" applyFill="1" applyBorder="1" applyAlignment="1" applyProtection="1">
      <alignment horizontal="right"/>
      <protection/>
    </xf>
    <xf numFmtId="0" fontId="1" fillId="34" borderId="31" xfId="0" applyNumberFormat="1" applyFont="1" applyFill="1" applyBorder="1" applyAlignment="1" applyProtection="1" quotePrefix="1">
      <alignment horizontal="left"/>
      <protection/>
    </xf>
    <xf numFmtId="0" fontId="3" fillId="34" borderId="0" xfId="0" applyNumberFormat="1" applyFont="1" applyFill="1" applyAlignment="1" applyProtection="1">
      <alignment horizontal="right"/>
      <protection/>
    </xf>
    <xf numFmtId="2" fontId="3" fillId="34" borderId="19" xfId="0" applyNumberFormat="1" applyFont="1" applyFill="1" applyBorder="1" applyAlignment="1" applyProtection="1">
      <alignment horizontal="right"/>
      <protection/>
    </xf>
    <xf numFmtId="2" fontId="1" fillId="34" borderId="32" xfId="0" applyNumberFormat="1" applyFont="1" applyFill="1" applyBorder="1" applyAlignment="1" applyProtection="1" quotePrefix="1">
      <alignment horizontal="right"/>
      <protection/>
    </xf>
    <xf numFmtId="0" fontId="3" fillId="34" borderId="17" xfId="0" applyNumberFormat="1" applyFont="1" applyFill="1" applyBorder="1" applyAlignment="1" applyProtection="1">
      <alignment horizontal="right"/>
      <protection/>
    </xf>
    <xf numFmtId="0" fontId="1" fillId="34" borderId="0" xfId="0" applyNumberFormat="1" applyFont="1" applyFill="1" applyAlignment="1" applyProtection="1" quotePrefix="1">
      <alignment horizontal="right"/>
      <protection/>
    </xf>
    <xf numFmtId="2" fontId="1" fillId="34" borderId="0" xfId="0" applyNumberFormat="1" applyFont="1" applyFill="1" applyAlignment="1" applyProtection="1">
      <alignment/>
      <protection/>
    </xf>
    <xf numFmtId="174" fontId="1" fillId="34" borderId="0" xfId="0" applyNumberFormat="1" applyFont="1" applyFill="1" applyBorder="1" applyAlignment="1" applyProtection="1">
      <alignment/>
      <protection/>
    </xf>
    <xf numFmtId="174" fontId="0" fillId="34" borderId="0" xfId="0" applyNumberFormat="1" applyFont="1" applyFill="1" applyAlignment="1" applyProtection="1">
      <alignment/>
      <protection/>
    </xf>
    <xf numFmtId="174" fontId="1" fillId="34" borderId="17" xfId="0" applyNumberFormat="1" applyFont="1" applyFill="1" applyBorder="1" applyAlignment="1" applyProtection="1">
      <alignment/>
      <protection/>
    </xf>
    <xf numFmtId="0" fontId="1" fillId="33" borderId="25" xfId="0" applyNumberFormat="1" applyFont="1" applyFill="1" applyBorder="1" applyAlignment="1" applyProtection="1">
      <alignment/>
      <protection locked="0"/>
    </xf>
    <xf numFmtId="174" fontId="9" fillId="33" borderId="0" xfId="0" applyNumberFormat="1" applyFont="1" applyFill="1" applyAlignment="1" applyProtection="1">
      <alignment/>
      <protection locked="0"/>
    </xf>
    <xf numFmtId="2" fontId="9" fillId="33" borderId="0" xfId="0" applyNumberFormat="1" applyFont="1" applyFill="1" applyAlignment="1" applyProtection="1">
      <alignment/>
      <protection locked="0"/>
    </xf>
    <xf numFmtId="2" fontId="9" fillId="33" borderId="17" xfId="0" applyNumberFormat="1" applyFont="1" applyFill="1" applyBorder="1" applyAlignment="1" applyProtection="1">
      <alignment/>
      <protection locked="0"/>
    </xf>
    <xf numFmtId="3" fontId="4" fillId="34" borderId="19" xfId="0" applyNumberFormat="1" applyFont="1" applyFill="1" applyBorder="1" applyAlignment="1" applyProtection="1">
      <alignment horizontal="center"/>
      <protection/>
    </xf>
    <xf numFmtId="3" fontId="4" fillId="34" borderId="10" xfId="0" applyNumberFormat="1" applyFont="1" applyFill="1" applyBorder="1" applyAlignment="1" applyProtection="1">
      <alignment horizontal="center"/>
      <protection/>
    </xf>
    <xf numFmtId="3" fontId="4" fillId="34" borderId="20" xfId="0" applyNumberFormat="1" applyFont="1" applyFill="1" applyBorder="1" applyAlignment="1" applyProtection="1">
      <alignment/>
      <protection/>
    </xf>
    <xf numFmtId="3" fontId="4" fillId="34" borderId="33" xfId="0" applyNumberFormat="1" applyFont="1" applyFill="1" applyBorder="1" applyAlignment="1" applyProtection="1">
      <alignment/>
      <protection/>
    </xf>
    <xf numFmtId="3" fontId="4" fillId="34" borderId="12" xfId="0" applyNumberFormat="1" applyFont="1" applyFill="1" applyBorder="1" applyAlignment="1" applyProtection="1">
      <alignment/>
      <protection/>
    </xf>
    <xf numFmtId="3" fontId="4" fillId="34" borderId="0" xfId="0" applyNumberFormat="1" applyFont="1" applyFill="1" applyBorder="1" applyAlignment="1" applyProtection="1">
      <alignment/>
      <protection/>
    </xf>
    <xf numFmtId="3" fontId="4" fillId="34" borderId="34" xfId="0" applyNumberFormat="1" applyFont="1" applyFill="1" applyBorder="1" applyAlignment="1" applyProtection="1">
      <alignment/>
      <protection/>
    </xf>
    <xf numFmtId="3" fontId="4" fillId="34" borderId="35" xfId="0" applyNumberFormat="1" applyFont="1" applyFill="1" applyBorder="1" applyAlignment="1" applyProtection="1">
      <alignment/>
      <protection/>
    </xf>
    <xf numFmtId="3" fontId="4" fillId="34" borderId="36" xfId="0" applyNumberFormat="1" applyFont="1" applyFill="1" applyBorder="1" applyAlignment="1" applyProtection="1">
      <alignment/>
      <protection/>
    </xf>
    <xf numFmtId="3" fontId="4" fillId="34" borderId="37" xfId="0" applyNumberFormat="1" applyFont="1" applyFill="1" applyBorder="1" applyAlignment="1" applyProtection="1">
      <alignment/>
      <protection/>
    </xf>
    <xf numFmtId="3" fontId="4" fillId="34" borderId="38" xfId="0" applyNumberFormat="1" applyFont="1" applyFill="1" applyBorder="1" applyAlignment="1" applyProtection="1">
      <alignment/>
      <protection/>
    </xf>
    <xf numFmtId="3" fontId="4" fillId="34" borderId="39" xfId="0" applyNumberFormat="1" applyFont="1" applyFill="1" applyBorder="1" applyAlignment="1" applyProtection="1">
      <alignment/>
      <protection/>
    </xf>
    <xf numFmtId="3" fontId="4" fillId="34" borderId="40" xfId="0" applyNumberFormat="1" applyFont="1" applyFill="1" applyBorder="1" applyAlignment="1" applyProtection="1">
      <alignment/>
      <protection/>
    </xf>
    <xf numFmtId="3" fontId="4" fillId="34" borderId="41" xfId="0" applyNumberFormat="1" applyFont="1" applyFill="1" applyBorder="1" applyAlignment="1" applyProtection="1">
      <alignment/>
      <protection/>
    </xf>
    <xf numFmtId="3" fontId="4" fillId="34" borderId="42" xfId="0" applyNumberFormat="1" applyFont="1" applyFill="1" applyBorder="1" applyAlignment="1" applyProtection="1">
      <alignment/>
      <protection/>
    </xf>
    <xf numFmtId="0" fontId="1" fillId="34" borderId="43" xfId="0" applyNumberFormat="1" applyFont="1" applyFill="1" applyBorder="1" applyAlignment="1" applyProtection="1">
      <alignment horizontal="center"/>
      <protection/>
    </xf>
    <xf numFmtId="0" fontId="1" fillId="34" borderId="30" xfId="0" applyNumberFormat="1" applyFont="1" applyFill="1" applyBorder="1" applyAlignment="1" applyProtection="1">
      <alignment horizontal="center"/>
      <protection/>
    </xf>
    <xf numFmtId="0" fontId="1" fillId="34" borderId="44" xfId="0" applyNumberFormat="1" applyFont="1" applyFill="1" applyBorder="1" applyAlignment="1" applyProtection="1">
      <alignment horizontal="center"/>
      <protection/>
    </xf>
    <xf numFmtId="0" fontId="1" fillId="34" borderId="21" xfId="0" applyNumberFormat="1" applyFont="1" applyFill="1" applyBorder="1" applyAlignment="1" applyProtection="1">
      <alignment horizontal="center"/>
      <protection/>
    </xf>
    <xf numFmtId="0" fontId="1" fillId="34" borderId="10" xfId="0" applyNumberFormat="1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 applyProtection="1">
      <alignment/>
      <protection/>
    </xf>
    <xf numFmtId="0" fontId="0" fillId="34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1" fillId="34" borderId="25" xfId="0" applyNumberFormat="1" applyFont="1" applyFill="1" applyBorder="1" applyAlignment="1" applyProtection="1">
      <alignment/>
      <protection locked="0"/>
    </xf>
    <xf numFmtId="0" fontId="1" fillId="34" borderId="23" xfId="0" applyNumberFormat="1" applyFont="1" applyFill="1" applyBorder="1" applyAlignment="1" applyProtection="1">
      <alignment/>
      <protection/>
    </xf>
    <xf numFmtId="1" fontId="1" fillId="34" borderId="24" xfId="0" applyNumberFormat="1" applyFont="1" applyFill="1" applyBorder="1" applyAlignment="1" applyProtection="1">
      <alignment horizontal="right"/>
      <protection/>
    </xf>
    <xf numFmtId="3" fontId="4" fillId="34" borderId="45" xfId="0" applyNumberFormat="1" applyFont="1" applyFill="1" applyBorder="1" applyAlignment="1" applyProtection="1">
      <alignment/>
      <protection/>
    </xf>
    <xf numFmtId="3" fontId="4" fillId="34" borderId="46" xfId="0" applyNumberFormat="1" applyFont="1" applyFill="1" applyBorder="1" applyAlignment="1" applyProtection="1">
      <alignment/>
      <protection/>
    </xf>
    <xf numFmtId="3" fontId="4" fillId="34" borderId="47" xfId="0" applyNumberFormat="1" applyFont="1" applyFill="1" applyBorder="1" applyAlignment="1" applyProtection="1">
      <alignment/>
      <protection/>
    </xf>
    <xf numFmtId="1" fontId="1" fillId="34" borderId="23" xfId="0" applyNumberFormat="1" applyFont="1" applyFill="1" applyBorder="1" applyAlignment="1" applyProtection="1">
      <alignment horizontal="right"/>
      <protection/>
    </xf>
    <xf numFmtId="1" fontId="1" fillId="34" borderId="22" xfId="0" applyNumberFormat="1" applyFont="1" applyFill="1" applyBorder="1" applyAlignment="1" applyProtection="1">
      <alignment horizontal="right"/>
      <protection/>
    </xf>
    <xf numFmtId="0" fontId="1" fillId="34" borderId="23" xfId="0" applyNumberFormat="1" applyFont="1" applyFill="1" applyBorder="1" applyAlignment="1" applyProtection="1">
      <alignment horizontal="left"/>
      <protection/>
    </xf>
    <xf numFmtId="0" fontId="1" fillId="34" borderId="24" xfId="0" applyNumberFormat="1" applyFont="1" applyFill="1" applyBorder="1" applyAlignment="1" applyProtection="1">
      <alignment horizontal="right"/>
      <protection/>
    </xf>
    <xf numFmtId="0" fontId="3" fillId="34" borderId="23" xfId="0" applyNumberFormat="1" applyFont="1" applyFill="1" applyBorder="1" applyAlignment="1" applyProtection="1">
      <alignment/>
      <protection/>
    </xf>
    <xf numFmtId="0" fontId="1" fillId="34" borderId="12" xfId="0" applyNumberFormat="1" applyFont="1" applyFill="1" applyBorder="1" applyAlignment="1" applyProtection="1">
      <alignment horizontal="left"/>
      <protection/>
    </xf>
    <xf numFmtId="172" fontId="1" fillId="34" borderId="0" xfId="0" applyNumberFormat="1" applyFont="1" applyFill="1" applyBorder="1" applyAlignment="1" applyProtection="1">
      <alignment horizontal="left"/>
      <protection/>
    </xf>
    <xf numFmtId="0" fontId="1" fillId="34" borderId="17" xfId="0" applyNumberFormat="1" applyFont="1" applyFill="1" applyBorder="1" applyAlignment="1" applyProtection="1">
      <alignment horizontal="left"/>
      <protection/>
    </xf>
    <xf numFmtId="2" fontId="1" fillId="34" borderId="10" xfId="0" applyNumberFormat="1" applyFont="1" applyFill="1" applyBorder="1" applyAlignment="1" applyProtection="1">
      <alignment horizontal="right"/>
      <protection/>
    </xf>
    <xf numFmtId="2" fontId="1" fillId="34" borderId="12" xfId="0" applyNumberFormat="1" applyFont="1" applyFill="1" applyBorder="1" applyAlignment="1" applyProtection="1">
      <alignment/>
      <protection/>
    </xf>
    <xf numFmtId="174" fontId="1" fillId="34" borderId="12" xfId="0" applyNumberFormat="1" applyFont="1" applyFill="1" applyBorder="1" applyAlignment="1" applyProtection="1">
      <alignment/>
      <protection/>
    </xf>
    <xf numFmtId="174" fontId="1" fillId="34" borderId="13" xfId="0" applyNumberFormat="1" applyFont="1" applyFill="1" applyBorder="1" applyAlignment="1" applyProtection="1">
      <alignment/>
      <protection/>
    </xf>
    <xf numFmtId="174" fontId="1" fillId="34" borderId="15" xfId="0" applyNumberFormat="1" applyFont="1" applyFill="1" applyBorder="1" applyAlignment="1" applyProtection="1">
      <alignment/>
      <protection/>
    </xf>
    <xf numFmtId="174" fontId="1" fillId="34" borderId="0" xfId="0" applyNumberFormat="1" applyFont="1" applyFill="1" applyAlignment="1" applyProtection="1" quotePrefix="1">
      <alignment horizontal="left"/>
      <protection/>
    </xf>
    <xf numFmtId="0" fontId="9" fillId="34" borderId="0" xfId="0" applyFont="1" applyFill="1" applyAlignment="1">
      <alignment/>
    </xf>
    <xf numFmtId="0" fontId="3" fillId="34" borderId="0" xfId="0" applyNumberFormat="1" applyFont="1" applyFill="1" applyBorder="1" applyAlignment="1" applyProtection="1">
      <alignment horizontal="right"/>
      <protection/>
    </xf>
    <xf numFmtId="2" fontId="3" fillId="34" borderId="20" xfId="0" applyNumberFormat="1" applyFont="1" applyFill="1" applyBorder="1" applyAlignment="1" applyProtection="1">
      <alignment horizontal="right"/>
      <protection/>
    </xf>
    <xf numFmtId="3" fontId="4" fillId="34" borderId="17" xfId="0" applyNumberFormat="1" applyFont="1" applyFill="1" applyBorder="1" applyAlignment="1" applyProtection="1">
      <alignment/>
      <protection/>
    </xf>
    <xf numFmtId="2" fontId="1" fillId="34" borderId="48" xfId="0" applyNumberFormat="1" applyFont="1" applyFill="1" applyBorder="1" applyAlignment="1" applyProtection="1" quotePrefix="1">
      <alignment horizontal="right"/>
      <protection/>
    </xf>
    <xf numFmtId="2" fontId="9" fillId="33" borderId="33" xfId="0" applyNumberFormat="1" applyFont="1" applyFill="1" applyBorder="1" applyAlignment="1" applyProtection="1">
      <alignment horizontal="right"/>
      <protection locked="0"/>
    </xf>
    <xf numFmtId="0" fontId="4" fillId="34" borderId="49" xfId="0" applyFont="1" applyFill="1" applyBorder="1" applyAlignment="1" applyProtection="1">
      <alignment horizontal="center" vertical="center"/>
      <protection/>
    </xf>
    <xf numFmtId="0" fontId="4" fillId="34" borderId="50" xfId="0" applyFont="1" applyFill="1" applyBorder="1" applyAlignment="1" applyProtection="1">
      <alignment horizontal="center" vertical="center"/>
      <protection/>
    </xf>
    <xf numFmtId="0" fontId="4" fillId="34" borderId="51" xfId="0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1628775</xdr:colOff>
      <xdr:row>3</xdr:row>
      <xdr:rowOff>152400</xdr:rowOff>
    </xdr:to>
    <xdr:pic>
      <xdr:nvPicPr>
        <xdr:cNvPr id="1" name="Picture 1" descr="Manitowoc Corporate rev Oct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"/>
          <a:ext cx="1933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PageLayoutView="0" workbookViewId="0" topLeftCell="A1">
      <selection activeCell="G54" sqref="G54"/>
    </sheetView>
  </sheetViews>
  <sheetFormatPr defaultColWidth="11.421875" defaultRowHeight="12.75"/>
  <cols>
    <col min="1" max="1" width="7.00390625" style="2" customWidth="1"/>
    <col min="2" max="2" width="4.7109375" style="2" customWidth="1"/>
    <col min="3" max="3" width="31.7109375" style="2" customWidth="1"/>
    <col min="4" max="6" width="9.140625" style="2" customWidth="1"/>
    <col min="7" max="7" width="9.421875" style="2" customWidth="1"/>
    <col min="8" max="8" width="5.7109375" style="2" bestFit="1" customWidth="1"/>
    <col min="9" max="9" width="8.7109375" style="2" hidden="1" customWidth="1"/>
    <col min="10" max="10" width="16.28125" style="2" hidden="1" customWidth="1"/>
    <col min="11" max="11" width="8.140625" style="2" hidden="1" customWidth="1"/>
    <col min="12" max="12" width="8.28125" style="2" hidden="1" customWidth="1"/>
    <col min="13" max="16" width="7.7109375" style="2" customWidth="1"/>
    <col min="17" max="17" width="11.57421875" style="2" customWidth="1"/>
    <col min="18" max="16384" width="11.421875" style="2" customWidth="1"/>
  </cols>
  <sheetData>
    <row r="1" spans="1:12" ht="12.75">
      <c r="A1" s="3"/>
      <c r="B1" s="4"/>
      <c r="C1" s="5" t="s">
        <v>0</v>
      </c>
      <c r="D1" s="5" t="s">
        <v>0</v>
      </c>
      <c r="E1" s="6" t="s">
        <v>1</v>
      </c>
      <c r="F1" s="119" t="s">
        <v>103</v>
      </c>
      <c r="G1" s="7"/>
      <c r="H1" s="3"/>
      <c r="I1" s="3"/>
      <c r="J1" s="8"/>
      <c r="K1" s="8"/>
      <c r="L1" s="9"/>
    </row>
    <row r="2" spans="1:12" ht="12.75">
      <c r="A2" s="3"/>
      <c r="B2" s="10"/>
      <c r="C2" s="11" t="s">
        <v>0</v>
      </c>
      <c r="D2" s="3"/>
      <c r="E2" s="12" t="s">
        <v>2</v>
      </c>
      <c r="F2" s="120">
        <v>39870</v>
      </c>
      <c r="G2" s="13"/>
      <c r="H2" s="3"/>
      <c r="I2" s="3"/>
      <c r="J2" s="8"/>
      <c r="K2" s="8"/>
      <c r="L2" s="9"/>
    </row>
    <row r="3" spans="1:12" ht="12.75">
      <c r="A3" s="3"/>
      <c r="B3" s="10"/>
      <c r="C3" s="3" t="s">
        <v>0</v>
      </c>
      <c r="D3" s="3"/>
      <c r="E3" s="14" t="s">
        <v>3</v>
      </c>
      <c r="F3" s="120">
        <f ca="1">NOW()</f>
        <v>40994.51295462963</v>
      </c>
      <c r="G3" s="15"/>
      <c r="H3" s="3"/>
      <c r="I3" s="3"/>
      <c r="J3" s="8"/>
      <c r="K3" s="8"/>
      <c r="L3" s="9"/>
    </row>
    <row r="4" spans="1:12" ht="13.5" thickBot="1">
      <c r="A4" s="3"/>
      <c r="B4" s="16"/>
      <c r="C4" s="17" t="s">
        <v>0</v>
      </c>
      <c r="D4" s="17" t="s">
        <v>0</v>
      </c>
      <c r="E4" s="18" t="s">
        <v>4</v>
      </c>
      <c r="F4" s="121" t="s">
        <v>5</v>
      </c>
      <c r="G4" s="19"/>
      <c r="H4" s="3"/>
      <c r="I4" s="3"/>
      <c r="J4" s="8"/>
      <c r="K4" s="8"/>
      <c r="L4" s="9"/>
    </row>
    <row r="5" spans="1:12" ht="9.75" customHeight="1" thickBot="1">
      <c r="A5" s="3"/>
      <c r="B5" s="20"/>
      <c r="C5" s="5" t="s">
        <v>0</v>
      </c>
      <c r="D5" s="5"/>
      <c r="E5" s="5"/>
      <c r="F5" s="5"/>
      <c r="G5" s="21"/>
      <c r="H5" s="3"/>
      <c r="I5" s="3"/>
      <c r="J5" s="8"/>
      <c r="K5" s="8"/>
      <c r="L5" s="9"/>
    </row>
    <row r="6" spans="1:12" ht="13.5" customHeight="1" thickBot="1">
      <c r="A6" s="3"/>
      <c r="B6" s="137" t="s">
        <v>102</v>
      </c>
      <c r="C6" s="138"/>
      <c r="D6" s="134" t="s">
        <v>6</v>
      </c>
      <c r="E6" s="135"/>
      <c r="F6" s="136" t="s">
        <v>7</v>
      </c>
      <c r="G6" s="135"/>
      <c r="H6" s="3"/>
      <c r="I6" s="3"/>
      <c r="J6" s="22"/>
      <c r="K6" s="22"/>
      <c r="L6" s="9"/>
    </row>
    <row r="7" spans="1:12" ht="9.75" customHeight="1" thickBot="1">
      <c r="A7" s="3"/>
      <c r="B7" s="139" t="s">
        <v>109</v>
      </c>
      <c r="C7" s="140"/>
      <c r="D7" s="23"/>
      <c r="E7" s="23"/>
      <c r="F7" s="24"/>
      <c r="G7" s="25"/>
      <c r="H7" s="3"/>
      <c r="I7" s="3"/>
      <c r="J7" s="26"/>
      <c r="K7" s="26"/>
      <c r="L7" s="9"/>
    </row>
    <row r="8" spans="1:12" ht="12.75">
      <c r="A8" s="3"/>
      <c r="B8" s="10"/>
      <c r="C8" s="27" t="s">
        <v>8</v>
      </c>
      <c r="D8" s="28"/>
      <c r="E8" s="28"/>
      <c r="F8" s="29"/>
      <c r="G8" s="30"/>
      <c r="H8" s="3"/>
      <c r="I8" s="3"/>
      <c r="J8" s="26"/>
      <c r="K8" s="26"/>
      <c r="L8" s="9"/>
    </row>
    <row r="9" spans="1:13" ht="12.75">
      <c r="A9" s="3"/>
      <c r="B9" s="10"/>
      <c r="C9" s="31"/>
      <c r="D9" s="28"/>
      <c r="E9" s="32" t="s">
        <v>9</v>
      </c>
      <c r="F9" s="33">
        <f>E79</f>
        <v>4.309</v>
      </c>
      <c r="G9" s="34">
        <f>F9*2.2046244201838*1000</f>
        <v>9499.726626571995</v>
      </c>
      <c r="H9" s="3"/>
      <c r="I9" s="3"/>
      <c r="J9" s="26"/>
      <c r="K9" s="26"/>
      <c r="L9" s="9"/>
      <c r="M9" s="128" t="s">
        <v>105</v>
      </c>
    </row>
    <row r="10" spans="1:12" ht="12.75">
      <c r="A10" s="3"/>
      <c r="B10" s="10"/>
      <c r="C10" s="35"/>
      <c r="D10" s="29"/>
      <c r="E10" s="36" t="s">
        <v>10</v>
      </c>
      <c r="F10" s="33">
        <f>E80</f>
        <v>10.522</v>
      </c>
      <c r="G10" s="34"/>
      <c r="H10" s="3"/>
      <c r="I10" s="3"/>
      <c r="J10" s="26"/>
      <c r="K10" s="26"/>
      <c r="L10" s="9"/>
    </row>
    <row r="11" spans="1:12" ht="13.5" thickBot="1">
      <c r="A11" s="3"/>
      <c r="B11" s="10"/>
      <c r="C11" s="37" t="s">
        <v>11</v>
      </c>
      <c r="D11" s="29"/>
      <c r="E11" s="29"/>
      <c r="F11" s="28"/>
      <c r="G11" s="30"/>
      <c r="H11" s="3"/>
      <c r="I11" s="3"/>
      <c r="J11" s="26"/>
      <c r="K11" s="26"/>
      <c r="L11" s="9"/>
    </row>
    <row r="12" spans="1:16" ht="12.75">
      <c r="A12" s="3"/>
      <c r="B12" s="10"/>
      <c r="C12" s="29" t="s">
        <v>0</v>
      </c>
      <c r="D12" s="38" t="s">
        <v>12</v>
      </c>
      <c r="E12" s="39" t="s">
        <v>98</v>
      </c>
      <c r="F12" s="38" t="s">
        <v>99</v>
      </c>
      <c r="G12" s="40" t="s">
        <v>108</v>
      </c>
      <c r="H12" s="3"/>
      <c r="I12" s="3"/>
      <c r="J12" s="26"/>
      <c r="K12" s="26"/>
      <c r="L12" s="9"/>
      <c r="M12" s="97" t="s">
        <v>12</v>
      </c>
      <c r="N12" s="98" t="s">
        <v>98</v>
      </c>
      <c r="O12" s="98" t="s">
        <v>99</v>
      </c>
      <c r="P12" s="99" t="s">
        <v>108</v>
      </c>
    </row>
    <row r="13" spans="1:16" ht="12.75">
      <c r="A13" s="3"/>
      <c r="B13" s="10"/>
      <c r="C13" s="29" t="s">
        <v>0</v>
      </c>
      <c r="D13" s="38" t="s">
        <v>13</v>
      </c>
      <c r="E13" s="39" t="s">
        <v>14</v>
      </c>
      <c r="F13" s="38" t="s">
        <v>14</v>
      </c>
      <c r="G13" s="40" t="s">
        <v>14</v>
      </c>
      <c r="H13" s="3"/>
      <c r="I13" s="3" t="s">
        <v>15</v>
      </c>
      <c r="J13" s="3"/>
      <c r="K13" s="26" t="s">
        <v>16</v>
      </c>
      <c r="L13" s="26" t="s">
        <v>17</v>
      </c>
      <c r="M13" s="100" t="s">
        <v>18</v>
      </c>
      <c r="N13" s="38" t="s">
        <v>19</v>
      </c>
      <c r="O13" s="38" t="s">
        <v>19</v>
      </c>
      <c r="P13" s="101" t="s">
        <v>19</v>
      </c>
    </row>
    <row r="14" spans="1:16" ht="12.75">
      <c r="A14" s="3"/>
      <c r="B14" s="10"/>
      <c r="C14" s="41" t="s">
        <v>20</v>
      </c>
      <c r="D14" s="42">
        <f>SUM(E14:G14)</f>
        <v>60448</v>
      </c>
      <c r="E14" s="43">
        <f>H80*(L14+H81)/(K14+L14)*1000</f>
        <v>27105.983000292734</v>
      </c>
      <c r="F14" s="42">
        <f>H80*1000-E14</f>
        <v>16984.79802992966</v>
      </c>
      <c r="G14" s="44">
        <f>(H77+E79)*1000</f>
        <v>16357.218969777608</v>
      </c>
      <c r="H14" s="3"/>
      <c r="I14" s="3"/>
      <c r="J14" s="3"/>
      <c r="K14" s="26">
        <v>4.267</v>
      </c>
      <c r="L14" s="26">
        <v>1.125</v>
      </c>
      <c r="M14" s="100" t="s">
        <v>21</v>
      </c>
      <c r="N14" s="38" t="s">
        <v>21</v>
      </c>
      <c r="O14" s="38" t="s">
        <v>21</v>
      </c>
      <c r="P14" s="101" t="s">
        <v>21</v>
      </c>
    </row>
    <row r="15" spans="1:16" ht="9.75" customHeight="1">
      <c r="A15" s="3"/>
      <c r="B15" s="10"/>
      <c r="C15" s="29" t="s">
        <v>0</v>
      </c>
      <c r="D15" s="82">
        <f>D14*2.2046244201838</f>
        <v>133265.13695127034</v>
      </c>
      <c r="E15" s="82">
        <f>E14*2.2046244201838</f>
        <v>59758.51205553231</v>
      </c>
      <c r="F15" s="82">
        <f>F14*2.2046244201838</f>
        <v>37445.10050867263</v>
      </c>
      <c r="G15" s="83">
        <f>G14*2.2046244201838</f>
        <v>36061.524387065416</v>
      </c>
      <c r="H15" s="3"/>
      <c r="I15" s="3"/>
      <c r="J15" s="3"/>
      <c r="K15" s="26"/>
      <c r="L15" s="26"/>
      <c r="M15" s="102"/>
      <c r="N15" s="103"/>
      <c r="O15" s="103"/>
      <c r="P15" s="104"/>
    </row>
    <row r="16" spans="1:16" ht="13.5" thickBot="1">
      <c r="A16" s="3"/>
      <c r="B16" s="16"/>
      <c r="C16" s="45" t="s">
        <v>22</v>
      </c>
      <c r="D16" s="46"/>
      <c r="E16" s="17"/>
      <c r="F16" s="46"/>
      <c r="G16" s="47"/>
      <c r="H16" s="3"/>
      <c r="I16" s="3"/>
      <c r="J16" s="3"/>
      <c r="K16" s="26"/>
      <c r="L16" s="26"/>
      <c r="M16" s="105"/>
      <c r="N16" s="106"/>
      <c r="O16" s="106"/>
      <c r="P16" s="107"/>
    </row>
    <row r="17" spans="1:16" ht="9" customHeight="1">
      <c r="A17" s="3"/>
      <c r="B17" s="48"/>
      <c r="C17" s="3" t="s">
        <v>0</v>
      </c>
      <c r="D17" s="49"/>
      <c r="E17" s="3"/>
      <c r="F17" s="49"/>
      <c r="G17" s="30"/>
      <c r="H17" s="3"/>
      <c r="I17" s="3"/>
      <c r="J17" s="3"/>
      <c r="K17" s="3"/>
      <c r="L17" s="3"/>
      <c r="M17" s="88"/>
      <c r="N17" s="89"/>
      <c r="O17" s="89"/>
      <c r="P17" s="90"/>
    </row>
    <row r="18" spans="1:16" ht="9" customHeight="1">
      <c r="A18" s="3">
        <v>200</v>
      </c>
      <c r="B18" s="78">
        <v>1</v>
      </c>
      <c r="C18" s="109" t="s">
        <v>23</v>
      </c>
      <c r="D18" s="50">
        <f aca="true" t="shared" si="0" ref="D18:D40">B18*A18</f>
        <v>200</v>
      </c>
      <c r="E18" s="51">
        <f>D18-F18</f>
        <v>70.4747774480712</v>
      </c>
      <c r="F18" s="50">
        <f>(K18-I18)/(K18+L18)*D18</f>
        <v>129.5252225519288</v>
      </c>
      <c r="G18" s="110">
        <v>0</v>
      </c>
      <c r="H18" s="3"/>
      <c r="I18" s="52">
        <f>(5.05-3.5)/2</f>
        <v>0.7749999999999999</v>
      </c>
      <c r="J18" s="52"/>
      <c r="K18" s="3">
        <f aca="true" t="shared" si="1" ref="K18:K49">$K$14</f>
        <v>4.267</v>
      </c>
      <c r="L18" s="3">
        <f aca="true" t="shared" si="2" ref="L18:L49">$L$14</f>
        <v>1.125</v>
      </c>
      <c r="M18" s="111">
        <f aca="true" t="shared" si="3" ref="M18:P49">D18*2.2046244201838</f>
        <v>440.92488403676003</v>
      </c>
      <c r="N18" s="112">
        <f t="shared" si="3"/>
        <v>155.3704153690363</v>
      </c>
      <c r="O18" s="112">
        <f t="shared" si="3"/>
        <v>285.5544686677237</v>
      </c>
      <c r="P18" s="113">
        <f t="shared" si="3"/>
        <v>0</v>
      </c>
    </row>
    <row r="19" spans="1:16" ht="9" customHeight="1">
      <c r="A19" s="3">
        <v>200</v>
      </c>
      <c r="B19" s="78">
        <v>0</v>
      </c>
      <c r="C19" s="109" t="s">
        <v>24</v>
      </c>
      <c r="D19" s="50">
        <f t="shared" si="0"/>
        <v>0</v>
      </c>
      <c r="E19" s="114">
        <v>0</v>
      </c>
      <c r="F19" s="115">
        <v>0</v>
      </c>
      <c r="G19" s="53">
        <f>D19</f>
        <v>0</v>
      </c>
      <c r="H19" s="3"/>
      <c r="I19" s="52"/>
      <c r="J19" s="52"/>
      <c r="K19" s="3">
        <f t="shared" si="1"/>
        <v>4.267</v>
      </c>
      <c r="L19" s="3">
        <f t="shared" si="2"/>
        <v>1.125</v>
      </c>
      <c r="M19" s="91">
        <f t="shared" si="3"/>
        <v>0</v>
      </c>
      <c r="N19" s="92">
        <f t="shared" si="3"/>
        <v>0</v>
      </c>
      <c r="O19" s="92">
        <f t="shared" si="3"/>
        <v>0</v>
      </c>
      <c r="P19" s="93">
        <f t="shared" si="3"/>
        <v>0</v>
      </c>
    </row>
    <row r="20" spans="1:16" ht="9" customHeight="1">
      <c r="A20" s="3">
        <v>950</v>
      </c>
      <c r="B20" s="78">
        <v>0</v>
      </c>
      <c r="C20" s="54" t="s">
        <v>100</v>
      </c>
      <c r="D20" s="50">
        <f t="shared" si="0"/>
        <v>0</v>
      </c>
      <c r="E20" s="114">
        <v>0</v>
      </c>
      <c r="F20" s="115">
        <v>0</v>
      </c>
      <c r="G20" s="53">
        <f>D20</f>
        <v>0</v>
      </c>
      <c r="H20" s="3"/>
      <c r="I20" s="52"/>
      <c r="J20" s="52"/>
      <c r="K20" s="3">
        <f t="shared" si="1"/>
        <v>4.267</v>
      </c>
      <c r="L20" s="3">
        <f t="shared" si="2"/>
        <v>1.125</v>
      </c>
      <c r="M20" s="91">
        <f t="shared" si="3"/>
        <v>0</v>
      </c>
      <c r="N20" s="92">
        <f t="shared" si="3"/>
        <v>0</v>
      </c>
      <c r="O20" s="92">
        <f t="shared" si="3"/>
        <v>0</v>
      </c>
      <c r="P20" s="93">
        <f t="shared" si="3"/>
        <v>0</v>
      </c>
    </row>
    <row r="21" spans="1:16" ht="9" customHeight="1">
      <c r="A21" s="3">
        <v>375</v>
      </c>
      <c r="B21" s="78">
        <v>0</v>
      </c>
      <c r="C21" s="109" t="s">
        <v>25</v>
      </c>
      <c r="D21" s="50">
        <f t="shared" si="0"/>
        <v>0</v>
      </c>
      <c r="E21" s="51">
        <f>D21-F21</f>
        <v>0</v>
      </c>
      <c r="F21" s="50">
        <f>(K21-I21)/(K21+L21)*D21</f>
        <v>0</v>
      </c>
      <c r="G21" s="110">
        <v>0</v>
      </c>
      <c r="H21" s="3"/>
      <c r="I21" s="52">
        <v>3.725</v>
      </c>
      <c r="J21" s="52"/>
      <c r="K21" s="3">
        <f t="shared" si="1"/>
        <v>4.267</v>
      </c>
      <c r="L21" s="3">
        <f t="shared" si="2"/>
        <v>1.125</v>
      </c>
      <c r="M21" s="91">
        <f t="shared" si="3"/>
        <v>0</v>
      </c>
      <c r="N21" s="92">
        <f t="shared" si="3"/>
        <v>0</v>
      </c>
      <c r="O21" s="92">
        <f t="shared" si="3"/>
        <v>0</v>
      </c>
      <c r="P21" s="93">
        <f t="shared" si="3"/>
        <v>0</v>
      </c>
    </row>
    <row r="22" spans="1:16" ht="9" customHeight="1">
      <c r="A22" s="3">
        <v>2108</v>
      </c>
      <c r="B22" s="78">
        <v>0</v>
      </c>
      <c r="C22" s="109" t="s">
        <v>26</v>
      </c>
      <c r="D22" s="50">
        <f t="shared" si="0"/>
        <v>0</v>
      </c>
      <c r="E22" s="51">
        <f>D22-F22</f>
        <v>0</v>
      </c>
      <c r="F22" s="50">
        <f>(K22-I22)/(K22+L22)*D22</f>
        <v>0</v>
      </c>
      <c r="G22" s="110">
        <v>0</v>
      </c>
      <c r="H22" s="3"/>
      <c r="I22" s="52">
        <v>4.829</v>
      </c>
      <c r="J22" s="52" t="s">
        <v>27</v>
      </c>
      <c r="K22" s="3">
        <f t="shared" si="1"/>
        <v>4.267</v>
      </c>
      <c r="L22" s="3">
        <f t="shared" si="2"/>
        <v>1.125</v>
      </c>
      <c r="M22" s="91">
        <f t="shared" si="3"/>
        <v>0</v>
      </c>
      <c r="N22" s="92">
        <f t="shared" si="3"/>
        <v>0</v>
      </c>
      <c r="O22" s="92">
        <f t="shared" si="3"/>
        <v>0</v>
      </c>
      <c r="P22" s="93">
        <f t="shared" si="3"/>
        <v>0</v>
      </c>
    </row>
    <row r="23" spans="1:16" ht="9" customHeight="1">
      <c r="A23" s="3">
        <v>2186</v>
      </c>
      <c r="B23" s="78">
        <v>1</v>
      </c>
      <c r="C23" s="109" t="s">
        <v>101</v>
      </c>
      <c r="D23" s="50">
        <f t="shared" si="0"/>
        <v>2186</v>
      </c>
      <c r="E23" s="51">
        <f>D23-F23</f>
        <v>2252.8935459940653</v>
      </c>
      <c r="F23" s="50">
        <f>(K23-I23)/(K23+L23)*D23</f>
        <v>-66.89354599406529</v>
      </c>
      <c r="G23" s="110">
        <v>0</v>
      </c>
      <c r="H23" s="3"/>
      <c r="I23" s="52">
        <v>4.432</v>
      </c>
      <c r="J23" s="52" t="s">
        <v>27</v>
      </c>
      <c r="K23" s="3">
        <f t="shared" si="1"/>
        <v>4.267</v>
      </c>
      <c r="L23" s="3">
        <f t="shared" si="2"/>
        <v>1.125</v>
      </c>
      <c r="M23" s="91">
        <f t="shared" si="3"/>
        <v>4819.308982521787</v>
      </c>
      <c r="N23" s="92">
        <f t="shared" si="3"/>
        <v>4966.784127572992</v>
      </c>
      <c r="O23" s="92">
        <f t="shared" si="3"/>
        <v>-147.47514505120455</v>
      </c>
      <c r="P23" s="93">
        <f t="shared" si="3"/>
        <v>0</v>
      </c>
    </row>
    <row r="24" spans="1:16" ht="9" customHeight="1">
      <c r="A24" s="3">
        <v>86</v>
      </c>
      <c r="B24" s="78">
        <v>1</v>
      </c>
      <c r="C24" s="109" t="s">
        <v>28</v>
      </c>
      <c r="D24" s="50">
        <f t="shared" si="0"/>
        <v>86</v>
      </c>
      <c r="E24" s="51">
        <f aca="true" t="shared" si="4" ref="E24:E29">(D24-G24)*(DMAFA+L24)/(K24+L24)</f>
        <v>15.313209795838254</v>
      </c>
      <c r="F24" s="50">
        <f aca="true" t="shared" si="5" ref="F24:F30">D24-E24-G24</f>
        <v>6.852918316687891</v>
      </c>
      <c r="G24" s="110">
        <f>(I24+DMAFA)/E80*D24</f>
        <v>63.83387188747386</v>
      </c>
      <c r="H24" s="3"/>
      <c r="I24" s="52">
        <v>5.21</v>
      </c>
      <c r="J24" s="52" t="s">
        <v>29</v>
      </c>
      <c r="K24" s="3">
        <f t="shared" si="1"/>
        <v>4.267</v>
      </c>
      <c r="L24" s="3">
        <f t="shared" si="2"/>
        <v>1.125</v>
      </c>
      <c r="M24" s="91">
        <f t="shared" si="3"/>
        <v>189.5977001358068</v>
      </c>
      <c r="N24" s="92">
        <f t="shared" si="3"/>
        <v>33.7598762673028</v>
      </c>
      <c r="O24" s="92">
        <f t="shared" si="3"/>
        <v>15.108111070494985</v>
      </c>
      <c r="P24" s="93">
        <f t="shared" si="3"/>
        <v>140.72971279800905</v>
      </c>
    </row>
    <row r="25" spans="1:16" ht="9" customHeight="1">
      <c r="A25" s="3"/>
      <c r="B25" s="108"/>
      <c r="C25" s="54"/>
      <c r="D25" s="50"/>
      <c r="E25" s="51"/>
      <c r="F25" s="50"/>
      <c r="G25" s="110"/>
      <c r="H25" s="3"/>
      <c r="I25" s="52"/>
      <c r="J25" s="52"/>
      <c r="K25" s="3"/>
      <c r="L25" s="3"/>
      <c r="M25" s="91"/>
      <c r="N25" s="92"/>
      <c r="O25" s="92"/>
      <c r="P25" s="93"/>
    </row>
    <row r="26" spans="1:16" ht="9" customHeight="1">
      <c r="A26" s="3">
        <v>210</v>
      </c>
      <c r="B26" s="78">
        <v>1</v>
      </c>
      <c r="C26" s="116" t="s">
        <v>30</v>
      </c>
      <c r="D26" s="50">
        <f aca="true" t="shared" si="6" ref="D26:D31">B26*A26</f>
        <v>210</v>
      </c>
      <c r="E26" s="51">
        <f t="shared" si="4"/>
        <v>55.67544609090914</v>
      </c>
      <c r="F26" s="50">
        <f t="shared" si="5"/>
        <v>24.915696277461905</v>
      </c>
      <c r="G26" s="110">
        <f aca="true" t="shared" si="7" ref="G26:G31">(I26+DMAFA)/$E$80*D26</f>
        <v>129.40885763162896</v>
      </c>
      <c r="H26" s="3"/>
      <c r="I26" s="52">
        <v>3.884</v>
      </c>
      <c r="J26" s="52" t="s">
        <v>29</v>
      </c>
      <c r="K26" s="3">
        <f t="shared" si="1"/>
        <v>4.267</v>
      </c>
      <c r="L26" s="3">
        <f t="shared" si="2"/>
        <v>1.125</v>
      </c>
      <c r="M26" s="91">
        <f t="shared" si="3"/>
        <v>462.971128238598</v>
      </c>
      <c r="N26" s="92">
        <f t="shared" si="3"/>
        <v>122.74344805664498</v>
      </c>
      <c r="O26" s="92">
        <f t="shared" si="3"/>
        <v>54.92975245917512</v>
      </c>
      <c r="P26" s="93">
        <f t="shared" si="3"/>
        <v>285.29792772277796</v>
      </c>
    </row>
    <row r="27" spans="1:16" ht="9" customHeight="1">
      <c r="A27" s="3">
        <v>824</v>
      </c>
      <c r="B27" s="78">
        <v>0</v>
      </c>
      <c r="C27" s="54" t="s">
        <v>110</v>
      </c>
      <c r="D27" s="50">
        <f t="shared" si="6"/>
        <v>0</v>
      </c>
      <c r="E27" s="51">
        <f t="shared" si="4"/>
        <v>0</v>
      </c>
      <c r="F27" s="50">
        <f t="shared" si="5"/>
        <v>0</v>
      </c>
      <c r="G27" s="110">
        <f t="shared" si="7"/>
        <v>0</v>
      </c>
      <c r="H27" s="3"/>
      <c r="I27" s="52">
        <v>9.171</v>
      </c>
      <c r="J27" s="52" t="s">
        <v>29</v>
      </c>
      <c r="K27" s="3">
        <f t="shared" si="1"/>
        <v>4.267</v>
      </c>
      <c r="L27" s="3">
        <f t="shared" si="2"/>
        <v>1.125</v>
      </c>
      <c r="M27" s="91">
        <f t="shared" si="3"/>
        <v>0</v>
      </c>
      <c r="N27" s="92">
        <f t="shared" si="3"/>
        <v>0</v>
      </c>
      <c r="O27" s="92">
        <f t="shared" si="3"/>
        <v>0</v>
      </c>
      <c r="P27" s="93">
        <f t="shared" si="3"/>
        <v>0</v>
      </c>
    </row>
    <row r="28" spans="1:16" ht="9" customHeight="1">
      <c r="A28" s="3">
        <v>1394</v>
      </c>
      <c r="B28" s="78">
        <v>0</v>
      </c>
      <c r="C28" s="54" t="s">
        <v>111</v>
      </c>
      <c r="D28" s="50">
        <f t="shared" si="6"/>
        <v>0</v>
      </c>
      <c r="E28" s="51">
        <f t="shared" si="4"/>
        <v>0</v>
      </c>
      <c r="F28" s="50">
        <f t="shared" si="5"/>
        <v>0</v>
      </c>
      <c r="G28" s="110">
        <f t="shared" si="7"/>
        <v>0</v>
      </c>
      <c r="H28" s="3"/>
      <c r="I28" s="52">
        <v>6.901</v>
      </c>
      <c r="J28" s="52" t="s">
        <v>29</v>
      </c>
      <c r="K28" s="3">
        <f t="shared" si="1"/>
        <v>4.267</v>
      </c>
      <c r="L28" s="3">
        <f t="shared" si="2"/>
        <v>1.125</v>
      </c>
      <c r="M28" s="91">
        <f t="shared" si="3"/>
        <v>0</v>
      </c>
      <c r="N28" s="92">
        <f t="shared" si="3"/>
        <v>0</v>
      </c>
      <c r="O28" s="92">
        <f t="shared" si="3"/>
        <v>0</v>
      </c>
      <c r="P28" s="93">
        <f t="shared" si="3"/>
        <v>0</v>
      </c>
    </row>
    <row r="29" spans="1:16" ht="9" customHeight="1">
      <c r="A29" s="3">
        <v>1744</v>
      </c>
      <c r="B29" s="78">
        <v>0</v>
      </c>
      <c r="C29" s="54" t="s">
        <v>112</v>
      </c>
      <c r="D29" s="50">
        <f t="shared" si="6"/>
        <v>0</v>
      </c>
      <c r="E29" s="51">
        <f t="shared" si="4"/>
        <v>0</v>
      </c>
      <c r="F29" s="50">
        <f t="shared" si="5"/>
        <v>0</v>
      </c>
      <c r="G29" s="110">
        <f t="shared" si="7"/>
        <v>0</v>
      </c>
      <c r="H29" s="3"/>
      <c r="I29" s="52">
        <v>6.126</v>
      </c>
      <c r="J29" s="52" t="s">
        <v>29</v>
      </c>
      <c r="K29" s="3">
        <f t="shared" si="1"/>
        <v>4.267</v>
      </c>
      <c r="L29" s="3">
        <f t="shared" si="2"/>
        <v>1.125</v>
      </c>
      <c r="M29" s="91">
        <f t="shared" si="3"/>
        <v>0</v>
      </c>
      <c r="N29" s="92">
        <f t="shared" si="3"/>
        <v>0</v>
      </c>
      <c r="O29" s="92">
        <f t="shared" si="3"/>
        <v>0</v>
      </c>
      <c r="P29" s="93">
        <f t="shared" si="3"/>
        <v>0</v>
      </c>
    </row>
    <row r="30" spans="1:16" ht="9" customHeight="1">
      <c r="A30" s="3">
        <v>1483</v>
      </c>
      <c r="B30" s="78">
        <v>1</v>
      </c>
      <c r="C30" s="54" t="s">
        <v>31</v>
      </c>
      <c r="D30" s="50">
        <f t="shared" si="6"/>
        <v>1483</v>
      </c>
      <c r="E30" s="51">
        <f>(D30-G30)*(DMAFA+L30)/(K30+L30)</f>
        <v>206.1294787994014</v>
      </c>
      <c r="F30" s="50">
        <f t="shared" si="5"/>
        <v>92.24640031103422</v>
      </c>
      <c r="G30" s="110">
        <f t="shared" si="7"/>
        <v>1184.6241208895644</v>
      </c>
      <c r="H30" s="3"/>
      <c r="I30" s="52">
        <v>5.805</v>
      </c>
      <c r="J30" s="52" t="s">
        <v>29</v>
      </c>
      <c r="K30" s="3">
        <f t="shared" si="1"/>
        <v>4.267</v>
      </c>
      <c r="L30" s="3">
        <f t="shared" si="2"/>
        <v>1.125</v>
      </c>
      <c r="M30" s="91">
        <f t="shared" si="3"/>
        <v>3269.4580151325754</v>
      </c>
      <c r="N30" s="92">
        <f t="shared" si="3"/>
        <v>454.43808268091925</v>
      </c>
      <c r="O30" s="92">
        <f t="shared" si="3"/>
        <v>203.36866679975654</v>
      </c>
      <c r="P30" s="93">
        <f t="shared" si="3"/>
        <v>2611.6512656519</v>
      </c>
    </row>
    <row r="31" spans="1:16" ht="9" customHeight="1">
      <c r="A31" s="3">
        <v>1424</v>
      </c>
      <c r="B31" s="78">
        <v>0</v>
      </c>
      <c r="C31" s="116" t="s">
        <v>32</v>
      </c>
      <c r="D31" s="50">
        <f t="shared" si="6"/>
        <v>0</v>
      </c>
      <c r="E31" s="51">
        <f>(D31-G31)*(DMAFA+L31)/(K31+L31)</f>
        <v>0</v>
      </c>
      <c r="F31" s="50">
        <f>D31-E31-G31</f>
        <v>0</v>
      </c>
      <c r="G31" s="110">
        <f t="shared" si="7"/>
        <v>0</v>
      </c>
      <c r="H31" s="3"/>
      <c r="I31" s="52">
        <v>5.688</v>
      </c>
      <c r="J31" s="52" t="s">
        <v>29</v>
      </c>
      <c r="K31" s="3">
        <f t="shared" si="1"/>
        <v>4.267</v>
      </c>
      <c r="L31" s="3">
        <f t="shared" si="2"/>
        <v>1.125</v>
      </c>
      <c r="M31" s="91">
        <f>D31*2.2046244201838</f>
        <v>0</v>
      </c>
      <c r="N31" s="92">
        <f>E31*2.2046244201838</f>
        <v>0</v>
      </c>
      <c r="O31" s="92">
        <f>F31*2.2046244201838</f>
        <v>0</v>
      </c>
      <c r="P31" s="93">
        <f>G31*2.2046244201838</f>
        <v>0</v>
      </c>
    </row>
    <row r="32" spans="1:16" ht="9" customHeight="1">
      <c r="A32" s="3">
        <v>25</v>
      </c>
      <c r="B32" s="78">
        <v>1</v>
      </c>
      <c r="C32" s="109" t="s">
        <v>33</v>
      </c>
      <c r="D32" s="50">
        <f t="shared" si="0"/>
        <v>25</v>
      </c>
      <c r="E32" s="51">
        <f aca="true" t="shared" si="8" ref="E32:E37">D32-F32</f>
        <v>13.329933234421363</v>
      </c>
      <c r="F32" s="50">
        <f aca="true" t="shared" si="9" ref="F32:F37">(K32-I32)/(K32+L32)*D32</f>
        <v>11.670066765578637</v>
      </c>
      <c r="G32" s="110">
        <v>0</v>
      </c>
      <c r="H32" s="3"/>
      <c r="I32" s="52">
        <v>1.75</v>
      </c>
      <c r="J32" s="52" t="s">
        <v>27</v>
      </c>
      <c r="K32" s="3">
        <f t="shared" si="1"/>
        <v>4.267</v>
      </c>
      <c r="L32" s="3">
        <f t="shared" si="2"/>
        <v>1.125</v>
      </c>
      <c r="M32" s="91">
        <f t="shared" si="3"/>
        <v>55.115610504595004</v>
      </c>
      <c r="N32" s="92">
        <f t="shared" si="3"/>
        <v>29.387496328024966</v>
      </c>
      <c r="O32" s="92">
        <f t="shared" si="3"/>
        <v>25.72811417657004</v>
      </c>
      <c r="P32" s="93">
        <f t="shared" si="3"/>
        <v>0</v>
      </c>
    </row>
    <row r="33" spans="1:16" ht="9" customHeight="1">
      <c r="A33" s="3">
        <v>600</v>
      </c>
      <c r="B33" s="78">
        <v>0</v>
      </c>
      <c r="C33" s="109" t="s">
        <v>34</v>
      </c>
      <c r="D33" s="50">
        <f t="shared" si="0"/>
        <v>0</v>
      </c>
      <c r="E33" s="51">
        <f t="shared" si="8"/>
        <v>0</v>
      </c>
      <c r="F33" s="50">
        <f t="shared" si="9"/>
        <v>0</v>
      </c>
      <c r="G33" s="110">
        <v>0</v>
      </c>
      <c r="H33" s="3"/>
      <c r="I33" s="52">
        <v>2.698</v>
      </c>
      <c r="J33" s="52"/>
      <c r="K33" s="3">
        <f t="shared" si="1"/>
        <v>4.267</v>
      </c>
      <c r="L33" s="3">
        <f t="shared" si="2"/>
        <v>1.125</v>
      </c>
      <c r="M33" s="91">
        <f t="shared" si="3"/>
        <v>0</v>
      </c>
      <c r="N33" s="92">
        <f t="shared" si="3"/>
        <v>0</v>
      </c>
      <c r="O33" s="92">
        <f t="shared" si="3"/>
        <v>0</v>
      </c>
      <c r="P33" s="93">
        <f t="shared" si="3"/>
        <v>0</v>
      </c>
    </row>
    <row r="34" spans="1:16" ht="9" customHeight="1">
      <c r="A34" s="3">
        <v>1030</v>
      </c>
      <c r="B34" s="78">
        <v>1</v>
      </c>
      <c r="C34" s="109" t="s">
        <v>91</v>
      </c>
      <c r="D34" s="50">
        <f t="shared" si="0"/>
        <v>1030</v>
      </c>
      <c r="E34" s="51">
        <f t="shared" si="8"/>
        <v>730.2837537091988</v>
      </c>
      <c r="F34" s="50">
        <f t="shared" si="9"/>
        <v>299.7162462908012</v>
      </c>
      <c r="G34" s="110">
        <v>0</v>
      </c>
      <c r="H34" s="3"/>
      <c r="I34" s="52">
        <v>2.698</v>
      </c>
      <c r="J34" s="52"/>
      <c r="K34" s="3">
        <f t="shared" si="1"/>
        <v>4.267</v>
      </c>
      <c r="L34" s="3">
        <f t="shared" si="2"/>
        <v>1.125</v>
      </c>
      <c r="M34" s="91">
        <f t="shared" si="3"/>
        <v>2270.763152789314</v>
      </c>
      <c r="N34" s="92">
        <f t="shared" si="3"/>
        <v>1610.0013970907914</v>
      </c>
      <c r="O34" s="92">
        <f t="shared" si="3"/>
        <v>660.7617556985227</v>
      </c>
      <c r="P34" s="93">
        <f t="shared" si="3"/>
        <v>0</v>
      </c>
    </row>
    <row r="35" spans="1:16" ht="9" customHeight="1">
      <c r="A35" s="3">
        <v>-439</v>
      </c>
      <c r="B35" s="78">
        <v>0</v>
      </c>
      <c r="C35" s="109" t="s">
        <v>92</v>
      </c>
      <c r="D35" s="50">
        <f>B35*A35</f>
        <v>0</v>
      </c>
      <c r="E35" s="51">
        <f t="shared" si="8"/>
        <v>0</v>
      </c>
      <c r="F35" s="50">
        <f t="shared" si="9"/>
        <v>0</v>
      </c>
      <c r="G35" s="110">
        <v>0</v>
      </c>
      <c r="H35" s="3"/>
      <c r="I35" s="52">
        <v>2.698</v>
      </c>
      <c r="J35" s="52"/>
      <c r="K35" s="3">
        <f t="shared" si="1"/>
        <v>4.267</v>
      </c>
      <c r="L35" s="3">
        <f t="shared" si="2"/>
        <v>1.125</v>
      </c>
      <c r="M35" s="91">
        <f t="shared" si="3"/>
        <v>0</v>
      </c>
      <c r="N35" s="92">
        <f t="shared" si="3"/>
        <v>0</v>
      </c>
      <c r="O35" s="92">
        <f t="shared" si="3"/>
        <v>0</v>
      </c>
      <c r="P35" s="93">
        <f t="shared" si="3"/>
        <v>0</v>
      </c>
    </row>
    <row r="36" spans="1:16" ht="9" customHeight="1">
      <c r="A36" s="3">
        <v>411</v>
      </c>
      <c r="B36" s="78">
        <v>0</v>
      </c>
      <c r="C36" s="109" t="s">
        <v>93</v>
      </c>
      <c r="D36" s="50">
        <f>B36*A36</f>
        <v>0</v>
      </c>
      <c r="E36" s="51">
        <f t="shared" si="8"/>
        <v>0</v>
      </c>
      <c r="F36" s="50">
        <f t="shared" si="9"/>
        <v>0</v>
      </c>
      <c r="G36" s="110">
        <v>0</v>
      </c>
      <c r="H36" s="3"/>
      <c r="I36" s="52">
        <v>2.698</v>
      </c>
      <c r="J36" s="52"/>
      <c r="K36" s="3">
        <f t="shared" si="1"/>
        <v>4.267</v>
      </c>
      <c r="L36" s="3">
        <f t="shared" si="2"/>
        <v>1.125</v>
      </c>
      <c r="M36" s="91">
        <f t="shared" si="3"/>
        <v>0</v>
      </c>
      <c r="N36" s="92">
        <f t="shared" si="3"/>
        <v>0</v>
      </c>
      <c r="O36" s="92">
        <f t="shared" si="3"/>
        <v>0</v>
      </c>
      <c r="P36" s="93">
        <f t="shared" si="3"/>
        <v>0</v>
      </c>
    </row>
    <row r="37" spans="1:16" ht="9" customHeight="1">
      <c r="A37" s="3">
        <v>520</v>
      </c>
      <c r="B37" s="78">
        <v>0</v>
      </c>
      <c r="C37" s="109" t="s">
        <v>94</v>
      </c>
      <c r="D37" s="50">
        <f>B37*A37</f>
        <v>0</v>
      </c>
      <c r="E37" s="51">
        <f t="shared" si="8"/>
        <v>0</v>
      </c>
      <c r="F37" s="50">
        <f t="shared" si="9"/>
        <v>0</v>
      </c>
      <c r="G37" s="110">
        <v>0</v>
      </c>
      <c r="H37" s="3"/>
      <c r="I37" s="52">
        <v>2.698</v>
      </c>
      <c r="J37" s="52"/>
      <c r="K37" s="3">
        <f t="shared" si="1"/>
        <v>4.267</v>
      </c>
      <c r="L37" s="3">
        <f t="shared" si="2"/>
        <v>1.125</v>
      </c>
      <c r="M37" s="91">
        <f t="shared" si="3"/>
        <v>0</v>
      </c>
      <c r="N37" s="92">
        <f t="shared" si="3"/>
        <v>0</v>
      </c>
      <c r="O37" s="92">
        <f t="shared" si="3"/>
        <v>0</v>
      </c>
      <c r="P37" s="93">
        <f t="shared" si="3"/>
        <v>0</v>
      </c>
    </row>
    <row r="38" spans="1:16" ht="9" customHeight="1">
      <c r="A38" s="3">
        <v>239</v>
      </c>
      <c r="B38" s="78">
        <v>0</v>
      </c>
      <c r="C38" s="109" t="s">
        <v>35</v>
      </c>
      <c r="D38" s="50">
        <f t="shared" si="0"/>
        <v>0</v>
      </c>
      <c r="E38" s="114">
        <v>0</v>
      </c>
      <c r="F38" s="115">
        <v>0</v>
      </c>
      <c r="G38" s="53">
        <f>D38</f>
        <v>0</v>
      </c>
      <c r="H38" s="3"/>
      <c r="I38" s="52"/>
      <c r="J38" s="52"/>
      <c r="K38" s="3">
        <f t="shared" si="1"/>
        <v>4.267</v>
      </c>
      <c r="L38" s="3">
        <f t="shared" si="2"/>
        <v>1.125</v>
      </c>
      <c r="M38" s="91">
        <f t="shared" si="3"/>
        <v>0</v>
      </c>
      <c r="N38" s="92">
        <f t="shared" si="3"/>
        <v>0</v>
      </c>
      <c r="O38" s="92">
        <f t="shared" si="3"/>
        <v>0</v>
      </c>
      <c r="P38" s="93">
        <f t="shared" si="3"/>
        <v>0</v>
      </c>
    </row>
    <row r="39" spans="1:16" ht="9" customHeight="1">
      <c r="A39" s="3">
        <v>299</v>
      </c>
      <c r="B39" s="78">
        <v>0</v>
      </c>
      <c r="C39" s="109" t="s">
        <v>36</v>
      </c>
      <c r="D39" s="50">
        <f t="shared" si="0"/>
        <v>0</v>
      </c>
      <c r="E39" s="114">
        <v>0</v>
      </c>
      <c r="F39" s="115">
        <v>0</v>
      </c>
      <c r="G39" s="53">
        <f>D39</f>
        <v>0</v>
      </c>
      <c r="H39" s="3"/>
      <c r="I39" s="52"/>
      <c r="J39" s="52"/>
      <c r="K39" s="3">
        <f t="shared" si="1"/>
        <v>4.267</v>
      </c>
      <c r="L39" s="3">
        <f t="shared" si="2"/>
        <v>1.125</v>
      </c>
      <c r="M39" s="91">
        <f t="shared" si="3"/>
        <v>0</v>
      </c>
      <c r="N39" s="92">
        <f t="shared" si="3"/>
        <v>0</v>
      </c>
      <c r="O39" s="92">
        <f t="shared" si="3"/>
        <v>0</v>
      </c>
      <c r="P39" s="93">
        <f t="shared" si="3"/>
        <v>0</v>
      </c>
    </row>
    <row r="40" spans="1:16" ht="9" customHeight="1">
      <c r="A40" s="3">
        <v>342</v>
      </c>
      <c r="B40" s="78">
        <v>0</v>
      </c>
      <c r="C40" s="109" t="s">
        <v>37</v>
      </c>
      <c r="D40" s="50">
        <f t="shared" si="0"/>
        <v>0</v>
      </c>
      <c r="E40" s="114">
        <v>0</v>
      </c>
      <c r="F40" s="115">
        <v>0</v>
      </c>
      <c r="G40" s="53">
        <f>D40</f>
        <v>0</v>
      </c>
      <c r="H40" s="3"/>
      <c r="I40" s="52"/>
      <c r="J40" s="52"/>
      <c r="K40" s="3">
        <f t="shared" si="1"/>
        <v>4.267</v>
      </c>
      <c r="L40" s="3">
        <f t="shared" si="2"/>
        <v>1.125</v>
      </c>
      <c r="M40" s="91">
        <f t="shared" si="3"/>
        <v>0</v>
      </c>
      <c r="N40" s="92">
        <f t="shared" si="3"/>
        <v>0</v>
      </c>
      <c r="O40" s="92">
        <f t="shared" si="3"/>
        <v>0</v>
      </c>
      <c r="P40" s="93">
        <f t="shared" si="3"/>
        <v>0</v>
      </c>
    </row>
    <row r="41" spans="1:16" ht="9" customHeight="1">
      <c r="A41" s="3"/>
      <c r="B41" s="78">
        <v>0</v>
      </c>
      <c r="C41" s="54" t="s">
        <v>38</v>
      </c>
      <c r="D41" s="55">
        <f>B41*1000</f>
        <v>0</v>
      </c>
      <c r="E41" s="51">
        <f>D41-F41</f>
        <v>0</v>
      </c>
      <c r="F41" s="50">
        <f>(K41-I41)/(K41+L41)*D41</f>
        <v>0</v>
      </c>
      <c r="G41" s="117">
        <v>0</v>
      </c>
      <c r="H41" s="3"/>
      <c r="I41" s="52">
        <v>4.1</v>
      </c>
      <c r="J41" s="52"/>
      <c r="K41" s="3">
        <f t="shared" si="1"/>
        <v>4.267</v>
      </c>
      <c r="L41" s="3">
        <f t="shared" si="2"/>
        <v>1.125</v>
      </c>
      <c r="M41" s="91">
        <f t="shared" si="3"/>
        <v>0</v>
      </c>
      <c r="N41" s="92">
        <f t="shared" si="3"/>
        <v>0</v>
      </c>
      <c r="O41" s="92">
        <f t="shared" si="3"/>
        <v>0</v>
      </c>
      <c r="P41" s="93">
        <f t="shared" si="3"/>
        <v>0</v>
      </c>
    </row>
    <row r="42" spans="1:16" ht="9" customHeight="1">
      <c r="A42" s="3">
        <v>-1760</v>
      </c>
      <c r="B42" s="78">
        <v>0</v>
      </c>
      <c r="C42" s="109" t="s">
        <v>39</v>
      </c>
      <c r="D42" s="50">
        <f>B42*A42</f>
        <v>0</v>
      </c>
      <c r="E42" s="51">
        <f>D42-F42</f>
        <v>0</v>
      </c>
      <c r="F42" s="50">
        <f>(K42-I42)/(K42+L42)*D42</f>
        <v>0</v>
      </c>
      <c r="G42" s="110">
        <v>0</v>
      </c>
      <c r="H42" s="3"/>
      <c r="I42" s="52">
        <v>5.05</v>
      </c>
      <c r="J42" s="52"/>
      <c r="K42" s="3">
        <f t="shared" si="1"/>
        <v>4.267</v>
      </c>
      <c r="L42" s="3">
        <f t="shared" si="2"/>
        <v>1.125</v>
      </c>
      <c r="M42" s="91">
        <f t="shared" si="3"/>
        <v>0</v>
      </c>
      <c r="N42" s="92">
        <f t="shared" si="3"/>
        <v>0</v>
      </c>
      <c r="O42" s="92">
        <f t="shared" si="3"/>
        <v>0</v>
      </c>
      <c r="P42" s="93">
        <f t="shared" si="3"/>
        <v>0</v>
      </c>
    </row>
    <row r="43" spans="1:16" ht="9" customHeight="1">
      <c r="A43" s="3">
        <v>-2103</v>
      </c>
      <c r="B43" s="78">
        <v>0</v>
      </c>
      <c r="C43" s="109" t="s">
        <v>40</v>
      </c>
      <c r="D43" s="50">
        <f>B43*A43</f>
        <v>0</v>
      </c>
      <c r="E43" s="51">
        <f>D43-F43</f>
        <v>0</v>
      </c>
      <c r="F43" s="50">
        <f>(K43-I43)/(K43+L43)*D43</f>
        <v>0</v>
      </c>
      <c r="G43" s="110">
        <v>0</v>
      </c>
      <c r="H43" s="3"/>
      <c r="I43" s="52">
        <v>-3.5</v>
      </c>
      <c r="J43" s="52"/>
      <c r="K43" s="3">
        <f t="shared" si="1"/>
        <v>4.267</v>
      </c>
      <c r="L43" s="3">
        <f t="shared" si="2"/>
        <v>1.125</v>
      </c>
      <c r="M43" s="91">
        <f t="shared" si="3"/>
        <v>0</v>
      </c>
      <c r="N43" s="92">
        <f t="shared" si="3"/>
        <v>0</v>
      </c>
      <c r="O43" s="92">
        <f t="shared" si="3"/>
        <v>0</v>
      </c>
      <c r="P43" s="93">
        <f t="shared" si="3"/>
        <v>0</v>
      </c>
    </row>
    <row r="44" spans="1:16" ht="9" customHeight="1">
      <c r="A44" s="3">
        <v>-636</v>
      </c>
      <c r="B44" s="78">
        <v>0</v>
      </c>
      <c r="C44" s="109" t="s">
        <v>41</v>
      </c>
      <c r="D44" s="50">
        <f>B44*A44</f>
        <v>0</v>
      </c>
      <c r="E44" s="51">
        <f>D44-F44</f>
        <v>0</v>
      </c>
      <c r="F44" s="50">
        <f>(K44-I44)/(K44+L44)*D44</f>
        <v>0</v>
      </c>
      <c r="G44" s="110">
        <v>0</v>
      </c>
      <c r="H44" s="3"/>
      <c r="I44" s="52">
        <v>2.863</v>
      </c>
      <c r="J44" s="52" t="s">
        <v>27</v>
      </c>
      <c r="K44" s="3">
        <f t="shared" si="1"/>
        <v>4.267</v>
      </c>
      <c r="L44" s="3">
        <f t="shared" si="2"/>
        <v>1.125</v>
      </c>
      <c r="M44" s="91">
        <f t="shared" si="3"/>
        <v>0</v>
      </c>
      <c r="N44" s="92">
        <f t="shared" si="3"/>
        <v>0</v>
      </c>
      <c r="O44" s="92">
        <f t="shared" si="3"/>
        <v>0</v>
      </c>
      <c r="P44" s="93">
        <f t="shared" si="3"/>
        <v>0</v>
      </c>
    </row>
    <row r="45" spans="1:16" ht="9" customHeight="1">
      <c r="A45" s="3"/>
      <c r="B45" s="78">
        <v>0</v>
      </c>
      <c r="C45" s="109" t="s">
        <v>42</v>
      </c>
      <c r="D45" s="55">
        <v>0</v>
      </c>
      <c r="E45" s="114">
        <f>G45*(L45+DMAFA)/(K45+L45)*(-1)</f>
        <v>0</v>
      </c>
      <c r="F45" s="115">
        <f>(G45+E45)*(-1)</f>
        <v>0</v>
      </c>
      <c r="G45" s="53">
        <f>E78*B45*0.676/E80*1000</f>
        <v>0</v>
      </c>
      <c r="H45" s="3"/>
      <c r="I45" s="52"/>
      <c r="J45" s="52"/>
      <c r="K45" s="3">
        <f t="shared" si="1"/>
        <v>4.267</v>
      </c>
      <c r="L45" s="3">
        <f t="shared" si="2"/>
        <v>1.125</v>
      </c>
      <c r="M45" s="91">
        <f t="shared" si="3"/>
        <v>0</v>
      </c>
      <c r="N45" s="92">
        <f t="shared" si="3"/>
        <v>0</v>
      </c>
      <c r="O45" s="92">
        <f t="shared" si="3"/>
        <v>0</v>
      </c>
      <c r="P45" s="93">
        <f t="shared" si="3"/>
        <v>0</v>
      </c>
    </row>
    <row r="46" spans="1:16" ht="9" customHeight="1">
      <c r="A46" s="3"/>
      <c r="B46" s="108"/>
      <c r="C46" s="109"/>
      <c r="D46" s="50">
        <f>B46*A46</f>
        <v>0</v>
      </c>
      <c r="E46" s="51">
        <f>(D46-G46)*(DMAFA+L46)/(K46+L46)</f>
        <v>0</v>
      </c>
      <c r="F46" s="50">
        <f>D46-E46-G46</f>
        <v>0</v>
      </c>
      <c r="G46" s="53">
        <f>A46*B46*(E82+B45)/E80</f>
        <v>0</v>
      </c>
      <c r="H46" s="3"/>
      <c r="I46" s="52"/>
      <c r="J46" s="52"/>
      <c r="K46" s="3">
        <f t="shared" si="1"/>
        <v>4.267</v>
      </c>
      <c r="L46" s="3">
        <f t="shared" si="2"/>
        <v>1.125</v>
      </c>
      <c r="M46" s="91"/>
      <c r="N46" s="92"/>
      <c r="O46" s="92"/>
      <c r="P46" s="93"/>
    </row>
    <row r="47" spans="1:16" ht="9" customHeight="1">
      <c r="A47" s="3"/>
      <c r="B47" s="108"/>
      <c r="C47" s="118" t="s">
        <v>43</v>
      </c>
      <c r="D47" s="55"/>
      <c r="E47" s="51"/>
      <c r="F47" s="50"/>
      <c r="G47" s="53"/>
      <c r="H47" s="3"/>
      <c r="I47" s="52"/>
      <c r="J47" s="52"/>
      <c r="K47" s="3">
        <f t="shared" si="1"/>
        <v>4.267</v>
      </c>
      <c r="L47" s="3">
        <f t="shared" si="2"/>
        <v>1.125</v>
      </c>
      <c r="M47" s="91"/>
      <c r="N47" s="92"/>
      <c r="O47" s="92"/>
      <c r="P47" s="93"/>
    </row>
    <row r="48" spans="1:16" ht="9" customHeight="1">
      <c r="A48" s="3">
        <v>1.467</v>
      </c>
      <c r="B48" s="78">
        <v>0</v>
      </c>
      <c r="C48" s="54" t="s">
        <v>95</v>
      </c>
      <c r="D48" s="55">
        <v>0</v>
      </c>
      <c r="E48" s="51">
        <f>(E80-DMAFA-L48)*G48/(K48+L48)</f>
        <v>0</v>
      </c>
      <c r="F48" s="50">
        <f>(E48+G48)*(-1)</f>
        <v>0</v>
      </c>
      <c r="G48" s="53">
        <f>A48/E80*B48*1000*(-1)</f>
        <v>0</v>
      </c>
      <c r="H48" s="3"/>
      <c r="I48" s="52"/>
      <c r="J48" s="52"/>
      <c r="K48" s="3">
        <f t="shared" si="1"/>
        <v>4.267</v>
      </c>
      <c r="L48" s="3">
        <f t="shared" si="2"/>
        <v>1.125</v>
      </c>
      <c r="M48" s="91">
        <f t="shared" si="3"/>
        <v>0</v>
      </c>
      <c r="N48" s="92">
        <f t="shared" si="3"/>
        <v>0</v>
      </c>
      <c r="O48" s="92">
        <f t="shared" si="3"/>
        <v>0</v>
      </c>
      <c r="P48" s="93">
        <f t="shared" si="3"/>
        <v>0</v>
      </c>
    </row>
    <row r="49" spans="1:16" ht="9" customHeight="1">
      <c r="A49" s="3">
        <v>1.467</v>
      </c>
      <c r="B49" s="78">
        <v>0</v>
      </c>
      <c r="C49" s="109" t="s">
        <v>96</v>
      </c>
      <c r="D49" s="55">
        <v>0</v>
      </c>
      <c r="E49" s="51">
        <f>(E80-DMAFA-L49)*G49/(K49+L49)</f>
        <v>0</v>
      </c>
      <c r="F49" s="50">
        <f>(E49+G49)*(-1)</f>
        <v>0</v>
      </c>
      <c r="G49" s="53">
        <f>A49/E80*B49*1000</f>
        <v>0</v>
      </c>
      <c r="H49" s="3"/>
      <c r="I49" s="52"/>
      <c r="J49" s="52"/>
      <c r="K49" s="3">
        <f t="shared" si="1"/>
        <v>4.267</v>
      </c>
      <c r="L49" s="3">
        <f t="shared" si="2"/>
        <v>1.125</v>
      </c>
      <c r="M49" s="91">
        <f t="shared" si="3"/>
        <v>0</v>
      </c>
      <c r="N49" s="92">
        <f t="shared" si="3"/>
        <v>0</v>
      </c>
      <c r="O49" s="92">
        <f t="shared" si="3"/>
        <v>0</v>
      </c>
      <c r="P49" s="93">
        <f t="shared" si="3"/>
        <v>0</v>
      </c>
    </row>
    <row r="50" spans="1:16" ht="9" customHeight="1">
      <c r="A50" s="3"/>
      <c r="B50" s="56"/>
      <c r="C50" s="54" t="s">
        <v>44</v>
      </c>
      <c r="D50" s="55"/>
      <c r="E50" s="51"/>
      <c r="F50" s="50"/>
      <c r="G50" s="53"/>
      <c r="H50" s="3"/>
      <c r="I50" s="3"/>
      <c r="J50" s="3"/>
      <c r="K50" s="3"/>
      <c r="L50" s="3"/>
      <c r="M50" s="91"/>
      <c r="N50" s="92"/>
      <c r="O50" s="92"/>
      <c r="P50" s="93"/>
    </row>
    <row r="51" spans="1:16" ht="9" customHeight="1" thickBot="1">
      <c r="A51" s="3"/>
      <c r="B51" s="57"/>
      <c r="C51" s="58" t="s">
        <v>45</v>
      </c>
      <c r="D51" s="59"/>
      <c r="E51" s="60"/>
      <c r="F51" s="59"/>
      <c r="G51" s="61"/>
      <c r="H51" s="3"/>
      <c r="I51" s="3"/>
      <c r="J51" s="3"/>
      <c r="K51" s="3"/>
      <c r="L51" s="3"/>
      <c r="M51" s="94"/>
      <c r="N51" s="95"/>
      <c r="O51" s="95"/>
      <c r="P51" s="96"/>
    </row>
    <row r="52" spans="1:12" ht="13.5" customHeight="1">
      <c r="A52" s="3"/>
      <c r="B52" s="20"/>
      <c r="C52" s="5" t="s">
        <v>0</v>
      </c>
      <c r="D52" s="62"/>
      <c r="E52" s="5"/>
      <c r="F52" s="62"/>
      <c r="G52" s="21"/>
      <c r="H52" s="3"/>
      <c r="I52" s="3"/>
      <c r="J52" s="8"/>
      <c r="K52" s="8"/>
      <c r="L52" s="9"/>
    </row>
    <row r="53" spans="1:12" ht="13.5" customHeight="1">
      <c r="A53" s="3"/>
      <c r="B53" s="10"/>
      <c r="C53" s="41" t="s">
        <v>46</v>
      </c>
      <c r="D53" s="63">
        <f>SUM(D17:D50)+D14</f>
        <v>65668</v>
      </c>
      <c r="E53" s="63">
        <f>SUM(E17:E50)+E14</f>
        <v>30450.08314536464</v>
      </c>
      <c r="F53" s="63">
        <f>SUM(F17:F50)+F14</f>
        <v>17482.83103444909</v>
      </c>
      <c r="G53" s="64">
        <f>SUM(G17:G50)+G14</f>
        <v>17735.085820186276</v>
      </c>
      <c r="H53" s="3"/>
      <c r="I53" s="3"/>
      <c r="J53" s="8"/>
      <c r="K53" s="8"/>
      <c r="L53" s="9"/>
    </row>
    <row r="54" spans="1:12" ht="13.5" thickBot="1">
      <c r="A54" s="3"/>
      <c r="B54" s="16"/>
      <c r="C54" s="65" t="s">
        <v>47</v>
      </c>
      <c r="D54" s="84">
        <f>D53*2.2045855</f>
        <v>144770.720614</v>
      </c>
      <c r="E54" s="84">
        <f>E53*2.2045855</f>
        <v>67129.81177606527</v>
      </c>
      <c r="F54" s="84">
        <f>F53*2.2045855</f>
        <v>38542.39579749646</v>
      </c>
      <c r="G54" s="85">
        <f>G53*2.2045855</f>
        <v>39098.513040438265</v>
      </c>
      <c r="H54" s="3"/>
      <c r="I54" s="3"/>
      <c r="J54" s="8"/>
      <c r="K54" s="8"/>
      <c r="L54" s="9"/>
    </row>
    <row r="55" spans="1:12" ht="9.75" customHeight="1">
      <c r="A55" s="3"/>
      <c r="B55" s="20"/>
      <c r="C55" s="66" t="s">
        <v>48</v>
      </c>
      <c r="D55" s="67">
        <f>$E$53/3000</f>
        <v>10.150027715121546</v>
      </c>
      <c r="E55" s="86">
        <f aca="true" t="shared" si="10" ref="E55:E62">D55*2204.5855</f>
        <v>22376.60392535509</v>
      </c>
      <c r="F55" s="68" t="s">
        <v>49</v>
      </c>
      <c r="G55" s="21"/>
      <c r="H55" s="3"/>
      <c r="I55" s="3"/>
      <c r="J55" s="8"/>
      <c r="K55" s="8"/>
      <c r="L55" s="9"/>
    </row>
    <row r="56" spans="1:12" ht="9.75" customHeight="1">
      <c r="A56" s="3"/>
      <c r="B56" s="10"/>
      <c r="C56" s="69" t="s">
        <v>50</v>
      </c>
      <c r="D56" s="70">
        <f>$E$53/3000</f>
        <v>10.150027715121546</v>
      </c>
      <c r="E56" s="87">
        <f t="shared" si="10"/>
        <v>22376.60392535509</v>
      </c>
      <c r="F56" s="71" t="s">
        <v>51</v>
      </c>
      <c r="G56" s="122">
        <v>3.05</v>
      </c>
      <c r="H56" s="3"/>
      <c r="I56" s="3"/>
      <c r="J56" s="8"/>
      <c r="K56" s="8"/>
      <c r="L56" s="9"/>
    </row>
    <row r="57" spans="1:12" ht="9.75" customHeight="1">
      <c r="A57" s="3"/>
      <c r="B57" s="10"/>
      <c r="C57" s="69" t="s">
        <v>52</v>
      </c>
      <c r="D57" s="70">
        <f>$E$53/3000</f>
        <v>10.150027715121546</v>
      </c>
      <c r="E57" s="87">
        <f t="shared" si="10"/>
        <v>22376.60392535509</v>
      </c>
      <c r="F57" s="71" t="s">
        <v>53</v>
      </c>
      <c r="G57" s="122">
        <v>1.65</v>
      </c>
      <c r="H57" s="3"/>
      <c r="I57" s="3"/>
      <c r="J57" s="8"/>
      <c r="K57" s="8"/>
      <c r="L57" s="9"/>
    </row>
    <row r="58" spans="1:12" ht="9.75" customHeight="1">
      <c r="A58" s="3"/>
      <c r="B58" s="10"/>
      <c r="C58" s="69" t="s">
        <v>54</v>
      </c>
      <c r="D58" s="70">
        <f>$F$53/2000</f>
        <v>8.741415517224544</v>
      </c>
      <c r="E58" s="87">
        <f t="shared" si="10"/>
        <v>19271.197898748233</v>
      </c>
      <c r="F58" s="71" t="s">
        <v>55</v>
      </c>
      <c r="G58" s="122">
        <v>2.45</v>
      </c>
      <c r="H58" s="3"/>
      <c r="I58" s="3"/>
      <c r="J58" s="8"/>
      <c r="K58" s="8"/>
      <c r="L58" s="9"/>
    </row>
    <row r="59" spans="1:12" ht="9.75" customHeight="1">
      <c r="A59" s="3"/>
      <c r="B59" s="10"/>
      <c r="C59" s="69" t="s">
        <v>56</v>
      </c>
      <c r="D59" s="70">
        <f>$F$53/2000</f>
        <v>8.741415517224544</v>
      </c>
      <c r="E59" s="87">
        <f t="shared" si="10"/>
        <v>19271.197898748233</v>
      </c>
      <c r="F59" s="71" t="s">
        <v>57</v>
      </c>
      <c r="G59" s="122">
        <v>1.65</v>
      </c>
      <c r="H59" s="3"/>
      <c r="I59" s="3"/>
      <c r="J59" s="8"/>
      <c r="K59" s="8"/>
      <c r="L59" s="9"/>
    </row>
    <row r="60" spans="1:12" ht="9.75" customHeight="1">
      <c r="A60" s="3"/>
      <c r="B60" s="10"/>
      <c r="C60" s="69" t="s">
        <v>58</v>
      </c>
      <c r="D60" s="70">
        <f>$G$53/3000</f>
        <v>5.911695273395425</v>
      </c>
      <c r="E60" s="87">
        <f t="shared" si="10"/>
        <v>13032.83768014609</v>
      </c>
      <c r="F60" s="71" t="s">
        <v>59</v>
      </c>
      <c r="G60" s="122">
        <f>E80-DMAFA-1.95-(G61)</f>
        <v>4.5877</v>
      </c>
      <c r="H60" s="3"/>
      <c r="I60" s="3"/>
      <c r="J60" s="8"/>
      <c r="K60" s="8"/>
      <c r="L60" s="9"/>
    </row>
    <row r="61" spans="1:12" ht="9.75" customHeight="1">
      <c r="A61" s="3"/>
      <c r="B61" s="10"/>
      <c r="C61" s="129" t="s">
        <v>60</v>
      </c>
      <c r="D61" s="70">
        <f>$G$53/3000</f>
        <v>5.911695273395425</v>
      </c>
      <c r="E61" s="87">
        <f t="shared" si="10"/>
        <v>13032.83768014609</v>
      </c>
      <c r="F61" s="71" t="s">
        <v>61</v>
      </c>
      <c r="G61" s="1">
        <v>1.3843</v>
      </c>
      <c r="H61" s="3"/>
      <c r="I61" s="3"/>
      <c r="J61" s="8"/>
      <c r="K61" s="8"/>
      <c r="L61" s="9"/>
    </row>
    <row r="62" spans="1:12" ht="9.75" customHeight="1" thickBot="1">
      <c r="A62" s="3"/>
      <c r="B62" s="16"/>
      <c r="C62" s="72" t="s">
        <v>107</v>
      </c>
      <c r="D62" s="130">
        <f>$G$53/3000</f>
        <v>5.911695273395425</v>
      </c>
      <c r="E62" s="131">
        <f t="shared" si="10"/>
        <v>13032.83768014609</v>
      </c>
      <c r="F62" s="132" t="s">
        <v>106</v>
      </c>
      <c r="G62" s="133">
        <v>1.3843</v>
      </c>
      <c r="H62" s="3"/>
      <c r="I62" s="3"/>
      <c r="J62" s="8"/>
      <c r="K62" s="8"/>
      <c r="L62" s="9"/>
    </row>
    <row r="63" spans="1:12" ht="9.75" customHeight="1">
      <c r="A63" s="3"/>
      <c r="B63" s="3"/>
      <c r="C63" s="3" t="s">
        <v>0</v>
      </c>
      <c r="D63" s="3"/>
      <c r="E63" s="3"/>
      <c r="F63" s="3"/>
      <c r="G63" s="3"/>
      <c r="H63" s="3"/>
      <c r="I63" s="3"/>
      <c r="J63" s="8"/>
      <c r="K63" s="8"/>
      <c r="L63" s="9"/>
    </row>
    <row r="64" spans="1:12" ht="9.75" customHeight="1">
      <c r="A64" s="3"/>
      <c r="B64" s="3"/>
      <c r="C64" s="3"/>
      <c r="D64" s="3"/>
      <c r="E64" s="3"/>
      <c r="F64" s="3" t="s">
        <v>62</v>
      </c>
      <c r="G64" s="3"/>
      <c r="H64" s="3"/>
      <c r="I64" s="3"/>
      <c r="J64" s="8"/>
      <c r="K64" s="8"/>
      <c r="L64" s="9"/>
    </row>
    <row r="65" spans="1:12" ht="9.75" customHeight="1">
      <c r="A65" s="3"/>
      <c r="B65" s="3"/>
      <c r="C65" s="3" t="s">
        <v>63</v>
      </c>
      <c r="D65" s="3"/>
      <c r="E65" s="3"/>
      <c r="F65" s="3" t="s">
        <v>64</v>
      </c>
      <c r="G65" s="3" t="s">
        <v>65</v>
      </c>
      <c r="H65" s="3"/>
      <c r="I65" s="3"/>
      <c r="J65" s="8"/>
      <c r="K65" s="8"/>
      <c r="L65" s="9"/>
    </row>
    <row r="66" spans="1:12" ht="9.75" customHeight="1">
      <c r="A66" s="3"/>
      <c r="B66" s="3"/>
      <c r="C66" s="73" t="s">
        <v>66</v>
      </c>
      <c r="D66" s="74">
        <f>D55+D56</f>
        <v>20.30005543024309</v>
      </c>
      <c r="E66" s="3">
        <f aca="true" t="shared" si="11" ref="E66:E74">IF(D66&gt;F66,"----------&gt;&gt;","")</f>
      </c>
      <c r="F66" s="74">
        <f>G56*3+15+(E83-2.5)*10</f>
        <v>29.15</v>
      </c>
      <c r="G66" s="74">
        <f>G56*3+18</f>
        <v>27.15</v>
      </c>
      <c r="H66" s="3">
        <f aca="true" t="shared" si="12" ref="H66:H74">IF(D66&gt;G66,"&lt;&lt;----","")</f>
      </c>
      <c r="I66" s="3"/>
      <c r="J66" s="8"/>
      <c r="K66" s="8"/>
      <c r="L66" s="9"/>
    </row>
    <row r="67" spans="1:12" ht="9.75" customHeight="1">
      <c r="A67" s="3"/>
      <c r="B67" s="3"/>
      <c r="C67" s="73" t="s">
        <v>67</v>
      </c>
      <c r="D67" s="74">
        <f>SUM(D55:D57)</f>
        <v>30.450083145364637</v>
      </c>
      <c r="E67" s="3">
        <f t="shared" si="11"/>
      </c>
      <c r="F67" s="74">
        <f>(SUM(G56:G57))*3+15+(E83-2.5)*10</f>
        <v>34.099999999999994</v>
      </c>
      <c r="G67" s="74">
        <f>SUM(G56:G57)*3+18</f>
        <v>32.099999999999994</v>
      </c>
      <c r="H67" s="3">
        <f t="shared" si="12"/>
      </c>
      <c r="I67" s="3"/>
      <c r="J67" s="8"/>
      <c r="K67" s="8"/>
      <c r="L67" s="9"/>
    </row>
    <row r="68" spans="1:12" ht="9.75" customHeight="1">
      <c r="A68" s="3"/>
      <c r="B68" s="3"/>
      <c r="C68" s="73" t="s">
        <v>68</v>
      </c>
      <c r="D68" s="74">
        <f>SUM(D55:D59)</f>
        <v>47.93291417981373</v>
      </c>
      <c r="E68" s="3" t="str">
        <f t="shared" si="11"/>
        <v>----------&gt;&gt;</v>
      </c>
      <c r="F68" s="74">
        <f>(SUM(G56:G59))*3+15+(E83-2.5)*10</f>
        <v>46.4</v>
      </c>
      <c r="G68" s="74">
        <f>SUM(G56:G59)*3+18</f>
        <v>44.4</v>
      </c>
      <c r="H68" s="3" t="str">
        <f t="shared" si="12"/>
        <v>&lt;&lt;----</v>
      </c>
      <c r="I68" s="3"/>
      <c r="J68" s="8"/>
      <c r="K68" s="8"/>
      <c r="L68" s="9"/>
    </row>
    <row r="69" spans="1:12" ht="9.75" customHeight="1">
      <c r="A69" s="3"/>
      <c r="B69" s="3"/>
      <c r="C69" s="73" t="s">
        <v>69</v>
      </c>
      <c r="D69" s="74">
        <f>SUM(D55:D61)</f>
        <v>59.756304726604576</v>
      </c>
      <c r="E69" s="3">
        <f t="shared" si="11"/>
      </c>
      <c r="F69" s="74">
        <f>(SUM(G56:G61))*3+15+(E83-2.5)*10</f>
        <v>64.316</v>
      </c>
      <c r="G69" s="74">
        <f>SUM(G56:G61)*3+18</f>
        <v>62.315999999999995</v>
      </c>
      <c r="H69" s="3">
        <f t="shared" si="12"/>
      </c>
      <c r="I69" s="3"/>
      <c r="J69" s="8"/>
      <c r="K69" s="8"/>
      <c r="L69" s="9"/>
    </row>
    <row r="70" spans="1:12" ht="9.75" customHeight="1">
      <c r="A70" s="3"/>
      <c r="B70" s="3"/>
      <c r="C70" s="73" t="s">
        <v>70</v>
      </c>
      <c r="D70" s="74">
        <f>SUM(D56:D59)</f>
        <v>37.78288646469218</v>
      </c>
      <c r="E70" s="3" t="str">
        <f t="shared" si="11"/>
        <v>----------&gt;&gt;</v>
      </c>
      <c r="F70" s="74">
        <f>(SUM(G57:G59)*3+15+(E83-2.5)*10)</f>
        <v>37.25</v>
      </c>
      <c r="G70" s="74">
        <f>SUM(G57:G59)*3+18</f>
        <v>35.25</v>
      </c>
      <c r="H70" s="3" t="str">
        <f t="shared" si="12"/>
        <v>&lt;&lt;----</v>
      </c>
      <c r="I70" s="3"/>
      <c r="J70" s="8"/>
      <c r="K70" s="8"/>
      <c r="L70" s="9"/>
    </row>
    <row r="71" spans="1:12" ht="9.75" customHeight="1">
      <c r="A71" s="3"/>
      <c r="B71" s="3"/>
      <c r="C71" s="73" t="s">
        <v>71</v>
      </c>
      <c r="D71" s="74">
        <f>SUM(D56:D61)</f>
        <v>49.60627701148303</v>
      </c>
      <c r="E71" s="3">
        <f t="shared" si="11"/>
      </c>
      <c r="F71" s="74">
        <f>(SUM(G57:G61))*3+15+(E83-2.5)*10</f>
        <v>55.166</v>
      </c>
      <c r="G71" s="74">
        <f>SUM(G57:G61)*3+18</f>
        <v>53.166</v>
      </c>
      <c r="H71" s="3">
        <f t="shared" si="12"/>
      </c>
      <c r="I71" s="3"/>
      <c r="J71" s="8"/>
      <c r="K71" s="8"/>
      <c r="L71" s="9"/>
    </row>
    <row r="72" spans="1:12" ht="9.75" customHeight="1">
      <c r="A72" s="3"/>
      <c r="B72" s="3"/>
      <c r="C72" s="73" t="s">
        <v>72</v>
      </c>
      <c r="D72" s="74">
        <f>SUM(D58:D59)</f>
        <v>17.482831034449088</v>
      </c>
      <c r="E72" s="3">
        <f t="shared" si="11"/>
      </c>
      <c r="F72" s="74">
        <f>G59*3+15+(E83-2.5)*10</f>
        <v>24.95</v>
      </c>
      <c r="G72" s="74">
        <f>G59*3+18</f>
        <v>22.95</v>
      </c>
      <c r="H72" s="3">
        <f t="shared" si="12"/>
      </c>
      <c r="I72" s="3"/>
      <c r="J72" s="8"/>
      <c r="K72" s="8"/>
      <c r="L72" s="9"/>
    </row>
    <row r="73" spans="1:12" ht="9.75" customHeight="1">
      <c r="A73" s="3"/>
      <c r="B73" s="3"/>
      <c r="C73" s="73" t="s">
        <v>73</v>
      </c>
      <c r="D73" s="74">
        <f>SUM(D58:D61)</f>
        <v>29.30622158123994</v>
      </c>
      <c r="E73" s="3">
        <f t="shared" si="11"/>
      </c>
      <c r="F73" s="74">
        <f>SUM(G59:G61)*3+15+(E83-2.5)*10</f>
        <v>42.866</v>
      </c>
      <c r="G73" s="74">
        <f>SUM(G59:G61)*3+18</f>
        <v>40.866</v>
      </c>
      <c r="H73" s="3">
        <f t="shared" si="12"/>
      </c>
      <c r="I73" s="3"/>
      <c r="J73" s="8"/>
      <c r="K73" s="8"/>
      <c r="L73" s="9"/>
    </row>
    <row r="74" spans="1:12" ht="9.75" customHeight="1">
      <c r="A74" s="3"/>
      <c r="B74" s="3"/>
      <c r="C74" s="73" t="s">
        <v>74</v>
      </c>
      <c r="D74" s="74">
        <f>SUM(D60:D61)</f>
        <v>11.82339054679085</v>
      </c>
      <c r="E74" s="3">
        <f t="shared" si="11"/>
      </c>
      <c r="F74" s="74">
        <f>(G61*3+15)+(E83-2.5)*10</f>
        <v>24.152900000000002</v>
      </c>
      <c r="G74" s="74">
        <f>G61*3+18</f>
        <v>22.152900000000002</v>
      </c>
      <c r="H74" s="3">
        <f t="shared" si="12"/>
      </c>
      <c r="I74" s="3"/>
      <c r="J74" s="8"/>
      <c r="K74" s="8"/>
      <c r="L74" s="9"/>
    </row>
    <row r="75" spans="1:12" ht="9.75" customHeight="1" thickBot="1">
      <c r="A75" s="3"/>
      <c r="B75" s="3"/>
      <c r="C75" s="3" t="s">
        <v>0</v>
      </c>
      <c r="D75" s="3"/>
      <c r="E75" s="3"/>
      <c r="F75" s="3"/>
      <c r="G75" s="3"/>
      <c r="H75" s="3"/>
      <c r="I75" s="3"/>
      <c r="J75" s="8"/>
      <c r="K75" s="8"/>
      <c r="L75" s="9"/>
    </row>
    <row r="76" spans="1:12" ht="9.75" customHeight="1">
      <c r="A76" s="3"/>
      <c r="B76" s="3"/>
      <c r="C76" s="20" t="s">
        <v>75</v>
      </c>
      <c r="D76" s="5" t="s">
        <v>76</v>
      </c>
      <c r="E76" s="123">
        <v>26.463</v>
      </c>
      <c r="F76" s="124">
        <v>2.439</v>
      </c>
      <c r="G76" s="5" t="s">
        <v>77</v>
      </c>
      <c r="H76" s="125">
        <f>E78-H77</f>
        <v>7.3357810302223925</v>
      </c>
      <c r="I76" s="75"/>
      <c r="J76" s="8"/>
      <c r="K76" s="8"/>
      <c r="L76" s="9"/>
    </row>
    <row r="77" spans="1:12" ht="9.75" customHeight="1">
      <c r="A77" s="3"/>
      <c r="B77" s="3"/>
      <c r="C77" s="10" t="s">
        <v>78</v>
      </c>
      <c r="D77" s="3" t="s">
        <v>76</v>
      </c>
      <c r="E77" s="74">
        <v>10.292</v>
      </c>
      <c r="F77" s="52">
        <v>1.257</v>
      </c>
      <c r="G77" s="3" t="s">
        <v>79</v>
      </c>
      <c r="H77" s="126">
        <f>E78*F78/E80</f>
        <v>12.048218969777608</v>
      </c>
      <c r="I77" s="75"/>
      <c r="J77" s="8"/>
      <c r="K77" s="8"/>
      <c r="L77" s="9"/>
    </row>
    <row r="78" spans="1:12" ht="9.75" customHeight="1">
      <c r="A78" s="3"/>
      <c r="B78" s="3"/>
      <c r="C78" s="10" t="s">
        <v>80</v>
      </c>
      <c r="D78" s="3" t="s">
        <v>81</v>
      </c>
      <c r="E78" s="74">
        <v>19.384</v>
      </c>
      <c r="F78" s="52">
        <f>3.94+2.6</f>
        <v>6.54</v>
      </c>
      <c r="G78" s="3"/>
      <c r="H78" s="30"/>
      <c r="I78" s="29"/>
      <c r="J78" s="8"/>
      <c r="K78" s="8"/>
      <c r="L78" s="76"/>
    </row>
    <row r="79" spans="1:12" ht="9.75" customHeight="1">
      <c r="A79" s="3"/>
      <c r="B79" s="3"/>
      <c r="C79" s="10" t="s">
        <v>82</v>
      </c>
      <c r="D79" s="3" t="s">
        <v>83</v>
      </c>
      <c r="E79" s="80">
        <v>4.309</v>
      </c>
      <c r="F79" s="52"/>
      <c r="G79" s="3"/>
      <c r="H79" s="30"/>
      <c r="I79" s="75"/>
      <c r="J79" s="8"/>
      <c r="K79" s="8"/>
      <c r="L79" s="9"/>
    </row>
    <row r="80" spans="1:14" ht="9.75" customHeight="1">
      <c r="A80" s="3"/>
      <c r="B80" s="3"/>
      <c r="C80" s="10" t="s">
        <v>84</v>
      </c>
      <c r="D80" s="3" t="s">
        <v>85</v>
      </c>
      <c r="E80" s="79">
        <v>10.522</v>
      </c>
      <c r="F80" s="127" t="s">
        <v>97</v>
      </c>
      <c r="G80" s="3" t="s">
        <v>86</v>
      </c>
      <c r="H80" s="126">
        <f>E76+E77+H76</f>
        <v>44.090781030222395</v>
      </c>
      <c r="I80" s="75"/>
      <c r="J80" s="8"/>
      <c r="K80" s="8"/>
      <c r="L80" s="9"/>
      <c r="N80" s="128" t="s">
        <v>104</v>
      </c>
    </row>
    <row r="81" spans="1:12" ht="9.75" customHeight="1">
      <c r="A81" s="3"/>
      <c r="B81" s="3"/>
      <c r="C81" s="10" t="s">
        <v>87</v>
      </c>
      <c r="D81" s="3" t="s">
        <v>85</v>
      </c>
      <c r="E81" s="52">
        <v>2.6</v>
      </c>
      <c r="F81" s="52"/>
      <c r="G81" s="3" t="s">
        <v>88</v>
      </c>
      <c r="H81" s="126">
        <f>(E76*F76+E77*F77+H76*DMAFA)/H80</f>
        <v>2.189875738703629</v>
      </c>
      <c r="I81" s="75"/>
      <c r="J81" s="8"/>
      <c r="K81" s="8"/>
      <c r="L81" s="9"/>
    </row>
    <row r="82" spans="1:12" ht="9.75" customHeight="1">
      <c r="A82" s="3"/>
      <c r="B82" s="3"/>
      <c r="C82" s="10" t="s">
        <v>89</v>
      </c>
      <c r="D82" s="3" t="s">
        <v>85</v>
      </c>
      <c r="E82" s="52">
        <v>13.7</v>
      </c>
      <c r="F82" s="52"/>
      <c r="G82" s="3"/>
      <c r="H82" s="30"/>
      <c r="I82" s="29"/>
      <c r="J82" s="8"/>
      <c r="K82" s="8"/>
      <c r="L82" s="9"/>
    </row>
    <row r="83" spans="1:12" ht="9.75" customHeight="1" thickBot="1">
      <c r="A83" s="3"/>
      <c r="B83" s="3"/>
      <c r="C83" s="16" t="s">
        <v>90</v>
      </c>
      <c r="D83" s="17" t="s">
        <v>85</v>
      </c>
      <c r="E83" s="81">
        <v>3</v>
      </c>
      <c r="F83" s="77"/>
      <c r="G83" s="17"/>
      <c r="H83" s="47"/>
      <c r="I83" s="29"/>
      <c r="J83" s="8"/>
      <c r="K83" s="8"/>
      <c r="L83" s="9"/>
    </row>
  </sheetData>
  <sheetProtection/>
  <mergeCells count="4">
    <mergeCell ref="D6:E6"/>
    <mergeCell ref="F6:G6"/>
    <mergeCell ref="B6:C6"/>
    <mergeCell ref="B7:C7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Grove US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GMK5170/5225 Cummins weight sheet 3 axle boom dolly (XLS)</dc:title>
  <dc:subject/>
  <dc:creator>EM</dc:creator>
  <cp:keywords/>
  <dc:description/>
  <cp:lastModifiedBy>Kate Costelloe</cp:lastModifiedBy>
  <cp:lastPrinted>2009-02-10T20:36:40Z</cp:lastPrinted>
  <dcterms:created xsi:type="dcterms:W3CDTF">2009-02-10T19:13:35Z</dcterms:created>
  <dcterms:modified xsi:type="dcterms:W3CDTF">2012-03-26T16:18:43Z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1945108071</vt:i4>
  </property>
  <property fmtid="{D5CDD505-2E9C-101B-9397-08002B2CF9AE}" pid="4" name="_EmailSubject">
    <vt:lpwstr>GMK 5170: AchslastTabellen Mercedes Version</vt:lpwstr>
  </property>
  <property fmtid="{D5CDD505-2E9C-101B-9397-08002B2CF9AE}" pid="5" name="_AuthorEmail">
    <vt:lpwstr>Eckhard.Meisner@manitowoc.com</vt:lpwstr>
  </property>
  <property fmtid="{D5CDD505-2E9C-101B-9397-08002B2CF9AE}" pid="6" name="_AuthorEmailDisplayName">
    <vt:lpwstr>MEISNER, ECKHARD</vt:lpwstr>
  </property>
  <property fmtid="{D5CDD505-2E9C-101B-9397-08002B2CF9AE}" pid="7" name="_ReviewingToolsShownOnce">
    <vt:lpwstr/>
  </property>
  <property fmtid="{D5CDD505-2E9C-101B-9397-08002B2CF9AE}" pid="8" name="Active">
    <vt:lpwstr>1</vt:lpwstr>
  </property>
  <property fmtid="{D5CDD505-2E9C-101B-9397-08002B2CF9AE}" pid="9" name="Sortorder">
    <vt:lpwstr>24.0000000000000</vt:lpwstr>
  </property>
  <property fmtid="{D5CDD505-2E9C-101B-9397-08002B2CF9AE}" pid="10" name="ContentType">
    <vt:lpwstr>Document</vt:lpwstr>
  </property>
  <property fmtid="{D5CDD505-2E9C-101B-9397-08002B2CF9AE}" pid="11" name="Product">
    <vt:lpwstr>;#All Terrain (GMK);#</vt:lpwstr>
  </property>
</Properties>
</file>